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<sst xmlns="http://schemas.openxmlformats.org/spreadsheetml/2006/main" uniqueCount="59">
  <si>
    <t>Financial model</t>
  </si>
  <si>
    <t>$m</t>
  </si>
  <si>
    <t>4Q 2021</t>
  </si>
  <si>
    <t xml:space="preserve">Cashflow </t>
  </si>
  <si>
    <t>Growth</t>
  </si>
  <si>
    <t>Sales</t>
  </si>
  <si>
    <t xml:space="preserve">Cost ratio </t>
  </si>
  <si>
    <t>Cash costs</t>
  </si>
  <si>
    <t xml:space="preserve">Operating </t>
  </si>
  <si>
    <t xml:space="preserve">Investment </t>
  </si>
  <si>
    <t xml:space="preserve">Finance 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</si>
  <si>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</si>
  <si>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</si>
  <si>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</si>
  <si>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</si>
  <si>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</si>
  <si>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</si>
  <si>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</si>
  <si>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 xml:space="preserve">Profit 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</si>
  <si>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</si>
  <si>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</si>
  <si>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</si>
  <si>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</si>
  <si>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</si>
  <si>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</si>
  <si>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</si>
  <si>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</si>
  <si>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</si>
  <si>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</si>
  <si>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</si>
  <si>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</si>
  <si>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</si>
  <si>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</si>
  <si>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</si>
  <si>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</si>
  <si>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</si>
  <si>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>Value</t>
  </si>
  <si>
    <t>Shares</t>
  </si>
  <si>
    <t xml:space="preserve">Target </t>
  </si>
  <si>
    <t xml:space="preserve">Current </t>
  </si>
  <si>
    <t>V target</t>
  </si>
  <si>
    <t xml:space="preserve">12 month growth </t>
  </si>
  <si>
    <t xml:space="preserve">Sales forecasts </t>
  </si>
  <si>
    <t xml:space="preserve">Sales growth </t>
  </si>
  <si>
    <t xml:space="preserve">Cash cost ratio </t>
  </si>
  <si>
    <t>Costs</t>
  </si>
  <si>
    <t>Net profit</t>
  </si>
  <si>
    <t xml:space="preserve">Working capital </t>
  </si>
  <si>
    <t>PPE</t>
  </si>
  <si>
    <t>Finance</t>
  </si>
  <si>
    <t xml:space="preserve">Free cashflow </t>
  </si>
  <si>
    <t>Capital</t>
  </si>
  <si>
    <t>Cash</t>
  </si>
  <si>
    <t>Assets</t>
  </si>
  <si>
    <t>Liabilities</t>
  </si>
  <si>
    <t>Check</t>
  </si>
  <si>
    <t>Share price</t>
  </si>
  <si>
    <t>DPZ</t>
  </si>
  <si>
    <t>Target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</si>
</sst>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%"/>
    <numFmt numFmtId="60" formatCode="#,##0.0_);[Red]\(#,##0.0\)"/>
    <numFmt numFmtId="61" formatCode="#,##0%_);[Red]\(#,##0%\)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3" borderId="4" applyNumberFormat="1" applyFont="1" applyFill="0" applyBorder="1" applyAlignment="1" applyProtection="0">
      <alignment horizontal="right" vertical="top" wrapText="1"/>
    </xf>
    <xf numFmtId="0" fontId="2" fillId="4" borderId="5" applyNumberFormat="0" applyFont="1" applyFill="1" applyBorder="1" applyAlignment="1" applyProtection="0">
      <alignment vertical="top" wrapText="1"/>
    </xf>
    <xf numFmtId="59" fontId="3" borderId="7" applyNumberFormat="1" applyFont="1" applyFill="0" applyBorder="1" applyAlignment="1" applyProtection="0">
      <alignment horizontal="right"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514397</xdr:colOff>
      <xdr:row>2</xdr:row>
      <xdr:rowOff>42128</xdr:rowOff>
    </xdr:from>
    <xdr:to>
      <xdr:col>13</xdr:col>
      <xdr:colOff>523550</xdr:colOff>
      <xdr:row>46</xdr:row>
      <xdr:rowOff>242009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705397" y="1098768"/>
          <a:ext cx="8721354" cy="114089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70312" style="1" customWidth="1"/>
    <col min="2" max="2" width="16.3281" style="1" customWidth="1"/>
    <col min="3" max="6" width="8.07812" style="1" customWidth="1"/>
    <col min="7" max="16384" width="16.3516" style="1" customWidth="1"/>
  </cols>
  <sheetData>
    <row r="1" ht="55.5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5"/>
    </row>
    <row r="4" ht="20.25" customHeight="1">
      <c r="B4" t="s" s="6">
        <v>3</v>
      </c>
      <c r="C4" s="7">
        <f>AVERAGE('Sales'!E27:E30)</f>
        <v>0.0356884355722923</v>
      </c>
      <c r="D4" s="8"/>
      <c r="E4" s="8"/>
      <c r="F4" s="9">
        <f>AVERAGE(C5:F5)</f>
        <v>0.0525</v>
      </c>
    </row>
    <row r="5" ht="20.05" customHeight="1">
      <c r="B5" t="s" s="10">
        <v>4</v>
      </c>
      <c r="C5" s="11">
        <v>0.35</v>
      </c>
      <c r="D5" s="12">
        <v>-0.2</v>
      </c>
      <c r="E5" s="12">
        <v>0.05</v>
      </c>
      <c r="F5" s="12">
        <v>0.01</v>
      </c>
    </row>
    <row r="6" ht="20.05" customHeight="1">
      <c r="B6" t="s" s="10">
        <v>5</v>
      </c>
      <c r="C6" s="13">
        <f>'Sales'!C30*(1+C5)</f>
        <v>1347.3</v>
      </c>
      <c r="D6" s="14">
        <f>C6*(1+D5)</f>
        <v>1077.84</v>
      </c>
      <c r="E6" s="14">
        <f>D6*(1+E5)</f>
        <v>1131.732</v>
      </c>
      <c r="F6" s="14">
        <f>E6*(1+F5)</f>
        <v>1143.04932</v>
      </c>
    </row>
    <row r="7" ht="20.05" customHeight="1">
      <c r="B7" t="s" s="10">
        <v>6</v>
      </c>
      <c r="C7" s="15">
        <f>'Sales'!G30</f>
        <v>-0.86148954230047</v>
      </c>
      <c r="D7" s="16">
        <f>C7</f>
        <v>-0.86148954230047</v>
      </c>
      <c r="E7" s="16">
        <f>D7</f>
        <v>-0.86148954230047</v>
      </c>
      <c r="F7" s="16">
        <f>E7</f>
        <v>-0.86148954230047</v>
      </c>
    </row>
    <row r="8" ht="20.05" customHeight="1">
      <c r="B8" t="s" s="10">
        <v>7</v>
      </c>
      <c r="C8" s="13">
        <f>C6*C7</f>
        <v>-1160.684860341420</v>
      </c>
      <c r="D8" s="14">
        <f>D6*D7</f>
        <v>-928.5478882731391</v>
      </c>
      <c r="E8" s="14">
        <f>E6*E7</f>
        <v>-974.975282686796</v>
      </c>
      <c r="F8" s="14">
        <f>F6*F7</f>
        <v>-984.725035513663</v>
      </c>
    </row>
    <row r="9" ht="20.05" customHeight="1">
      <c r="B9" t="s" s="10">
        <v>8</v>
      </c>
      <c r="C9" s="13">
        <f>C6+C8</f>
        <v>186.615139658580</v>
      </c>
      <c r="D9" s="14">
        <f>D6+D8</f>
        <v>149.292111726861</v>
      </c>
      <c r="E9" s="14">
        <f>E6+E8</f>
        <v>156.756717313204</v>
      </c>
      <c r="F9" s="14">
        <f>F6+F8</f>
        <v>158.324284486337</v>
      </c>
    </row>
    <row r="10" ht="20.05" customHeight="1">
      <c r="B10" t="s" s="10">
        <v>9</v>
      </c>
      <c r="C10" s="13">
        <f>'Cashflow '!E29</f>
        <v>-17.7</v>
      </c>
      <c r="D10" s="14">
        <f>C10</f>
        <v>-17.7</v>
      </c>
      <c r="E10" s="14">
        <f>D10</f>
        <v>-17.7</v>
      </c>
      <c r="F10" s="14">
        <f>E10</f>
        <v>-17.7</v>
      </c>
    </row>
    <row r="11" ht="20.05" customHeight="1">
      <c r="B11" t="s" s="10">
        <v>10</v>
      </c>
      <c r="C11" s="13">
        <f>C12+C13+C15</f>
        <v>-168.915139658580</v>
      </c>
      <c r="D11" s="14">
        <f>D12+D13+D15</f>
        <v>-131.592111726861</v>
      </c>
      <c r="E11" s="14">
        <f>E12+E13+E15</f>
        <v>-139.056717313204</v>
      </c>
      <c r="F11" s="14">
        <f>F12+F13+F15</f>
        <v>-140.624284486337</v>
      </c>
    </row>
    <row r="12" ht="20.05" customHeight="1">
      <c r="B12" t="s" s="10">
        <v>11</v>
      </c>
      <c r="C12" s="13">
        <f>-('Balance sheet'!G30)/20</f>
        <v>-294.595</v>
      </c>
      <c r="D12" s="14">
        <f>-C26/20</f>
        <v>-279.86525</v>
      </c>
      <c r="E12" s="14">
        <f>-D26/20</f>
        <v>-265.8719875</v>
      </c>
      <c r="F12" s="14">
        <f>-E26/20</f>
        <v>-252.578388125</v>
      </c>
    </row>
    <row r="13" ht="20.05" customHeight="1">
      <c r="B13" t="s" s="10">
        <v>12</v>
      </c>
      <c r="C13" s="13">
        <f>IF(C21&gt;0,-C21*0.5,0)</f>
        <v>-87.057569829290</v>
      </c>
      <c r="D13" s="14">
        <f>IF(D21&gt;0,-D21*0.5,0)</f>
        <v>-68.3960558634305</v>
      </c>
      <c r="E13" s="14">
        <f>IF(E21&gt;0,-E21*0.5,0)</f>
        <v>-72.128358656602</v>
      </c>
      <c r="F13" s="14">
        <f>IF(F21&gt;0,-F21*0.5,0)</f>
        <v>-72.9121422431685</v>
      </c>
    </row>
    <row r="14" ht="20.05" customHeight="1">
      <c r="B14" t="s" s="10">
        <v>13</v>
      </c>
      <c r="C14" s="13">
        <f>C9+C10+C12+C13</f>
        <v>-212.737430170710</v>
      </c>
      <c r="D14" s="14">
        <f>D9+D10+D12+D13</f>
        <v>-216.669194136570</v>
      </c>
      <c r="E14" s="14">
        <f>E9+E10+E12+E13</f>
        <v>-198.943628843398</v>
      </c>
      <c r="F14" s="14">
        <f>F9+F10+F12+F13</f>
        <v>-184.866245881832</v>
      </c>
    </row>
    <row r="15" ht="20.05" customHeight="1">
      <c r="B15" t="s" s="10">
        <v>14</v>
      </c>
      <c r="C15" s="13">
        <f>-MIN(0,C14)</f>
        <v>212.737430170710</v>
      </c>
      <c r="D15" s="14">
        <f>-MIN(C27,D14)</f>
        <v>216.669194136570</v>
      </c>
      <c r="E15" s="14">
        <f>-MIN(D27,E14)</f>
        <v>198.943628843398</v>
      </c>
      <c r="F15" s="14">
        <f>-MIN(E27,F14)</f>
        <v>184.866245881832</v>
      </c>
    </row>
    <row r="16" ht="20.05" customHeight="1">
      <c r="B16" t="s" s="10">
        <v>15</v>
      </c>
      <c r="C16" s="13">
        <f>'Balance sheet'!C30</f>
        <v>295.4</v>
      </c>
      <c r="D16" s="14">
        <f>C18</f>
        <v>295.4</v>
      </c>
      <c r="E16" s="14">
        <f>D18</f>
        <v>295.4</v>
      </c>
      <c r="F16" s="14">
        <f>E18</f>
        <v>295.4</v>
      </c>
    </row>
    <row r="17" ht="20.05" customHeight="1">
      <c r="B17" t="s" s="10">
        <v>16</v>
      </c>
      <c r="C17" s="13">
        <f>C9+C10+C11</f>
        <v>0</v>
      </c>
      <c r="D17" s="14">
        <f>D9+D10+D11</f>
        <v>0</v>
      </c>
      <c r="E17" s="14">
        <f>E9+E10+E11</f>
        <v>0</v>
      </c>
      <c r="F17" s="14">
        <f>F9+F10+F11</f>
        <v>0</v>
      </c>
    </row>
    <row r="18" ht="20.05" customHeight="1">
      <c r="B18" t="s" s="10">
        <v>17</v>
      </c>
      <c r="C18" s="13">
        <f>C16+C17</f>
        <v>295.4</v>
      </c>
      <c r="D18" s="14">
        <f>D16+D17</f>
        <v>295.4</v>
      </c>
      <c r="E18" s="14">
        <f>E16+E17</f>
        <v>295.4</v>
      </c>
      <c r="F18" s="14">
        <f>F16+F17</f>
        <v>295.4</v>
      </c>
    </row>
    <row r="19" ht="20.05" customHeight="1">
      <c r="B19" t="s" s="17">
        <v>18</v>
      </c>
      <c r="C19" s="18"/>
      <c r="D19" s="19"/>
      <c r="E19" s="19"/>
      <c r="F19" s="20"/>
    </row>
    <row r="20" ht="20.05" customHeight="1">
      <c r="B20" t="s" s="10">
        <v>19</v>
      </c>
      <c r="C20" s="13">
        <f>-AVERAGE('Cashflow '!C29)</f>
        <v>-12.5</v>
      </c>
      <c r="D20" s="14">
        <f>C20</f>
        <v>-12.5</v>
      </c>
      <c r="E20" s="14">
        <f>D20</f>
        <v>-12.5</v>
      </c>
      <c r="F20" s="14">
        <f>E20</f>
        <v>-12.5</v>
      </c>
    </row>
    <row r="21" ht="20.05" customHeight="1">
      <c r="B21" t="s" s="10">
        <v>20</v>
      </c>
      <c r="C21" s="21">
        <f>C6+C8+C20</f>
        <v>174.115139658580</v>
      </c>
      <c r="D21" s="22">
        <f>D6+D8+D20</f>
        <v>136.792111726861</v>
      </c>
      <c r="E21" s="22">
        <f>E6+E8+E20</f>
        <v>144.256717313204</v>
      </c>
      <c r="F21" s="22">
        <f>F6+F8+F20</f>
        <v>145.824284486337</v>
      </c>
    </row>
    <row r="22" ht="20.05" customHeight="1">
      <c r="B22" t="s" s="17">
        <v>21</v>
      </c>
      <c r="C22" s="21"/>
      <c r="D22" s="19"/>
      <c r="E22" s="19"/>
      <c r="F22" s="22"/>
    </row>
    <row r="23" ht="20.05" customHeight="1">
      <c r="B23" t="s" s="10">
        <v>22</v>
      </c>
      <c r="C23" s="13">
        <f>'Balance sheet'!E30+'Balance sheet'!F30-C10</f>
        <v>1827.2</v>
      </c>
      <c r="D23" s="14">
        <f>C23-D10</f>
        <v>1844.9</v>
      </c>
      <c r="E23" s="14">
        <f>D23-E10</f>
        <v>1862.6</v>
      </c>
      <c r="F23" s="14">
        <f>E23-F10</f>
        <v>1880.3</v>
      </c>
    </row>
    <row r="24" ht="20.05" customHeight="1">
      <c r="B24" t="s" s="10">
        <v>23</v>
      </c>
      <c r="C24" s="13">
        <f>'Balance sheet'!F30-C20</f>
        <v>353</v>
      </c>
      <c r="D24" s="14">
        <f>C24-D20</f>
        <v>365.5</v>
      </c>
      <c r="E24" s="14">
        <f>D24-E20</f>
        <v>378</v>
      </c>
      <c r="F24" s="14">
        <f>E24-F20</f>
        <v>390.5</v>
      </c>
    </row>
    <row r="25" ht="20.05" customHeight="1">
      <c r="B25" t="s" s="10">
        <v>24</v>
      </c>
      <c r="C25" s="13">
        <f>C23-C24</f>
        <v>1474.2</v>
      </c>
      <c r="D25" s="14">
        <f>D23-D24</f>
        <v>1479.4</v>
      </c>
      <c r="E25" s="14">
        <f>E23-E24</f>
        <v>1484.6</v>
      </c>
      <c r="F25" s="14">
        <f>F23-F24</f>
        <v>1489.8</v>
      </c>
    </row>
    <row r="26" ht="20.05" customHeight="1">
      <c r="B26" t="s" s="10">
        <v>11</v>
      </c>
      <c r="C26" s="13">
        <f>'Balance sheet'!G30+C12</f>
        <v>5597.305</v>
      </c>
      <c r="D26" s="14">
        <f>C26+D12</f>
        <v>5317.43975</v>
      </c>
      <c r="E26" s="14">
        <f>D26+E12</f>
        <v>5051.5677625</v>
      </c>
      <c r="F26" s="14">
        <f>E26+F12</f>
        <v>4798.989374375</v>
      </c>
    </row>
    <row r="27" ht="20.05" customHeight="1">
      <c r="B27" t="s" s="10">
        <v>14</v>
      </c>
      <c r="C27" s="13">
        <f>C15</f>
        <v>212.737430170710</v>
      </c>
      <c r="D27" s="14">
        <f>C27+D15</f>
        <v>429.406624307280</v>
      </c>
      <c r="E27" s="14">
        <f>D27+E15</f>
        <v>628.350253150678</v>
      </c>
      <c r="F27" s="14">
        <f>E27+F15</f>
        <v>813.216499032510</v>
      </c>
    </row>
    <row r="28" ht="20.05" customHeight="1">
      <c r="B28" t="s" s="10">
        <v>25</v>
      </c>
      <c r="C28" s="13">
        <f>'Balance sheet'!H30+C21+C13</f>
        <v>-4040.442430170710</v>
      </c>
      <c r="D28" s="14">
        <f>C28+D21+D13</f>
        <v>-3972.046374307280</v>
      </c>
      <c r="E28" s="14">
        <f>D28+E21+E13</f>
        <v>-3899.918015650680</v>
      </c>
      <c r="F28" s="14">
        <f>E28+F21+F13</f>
        <v>-3827.005873407510</v>
      </c>
    </row>
    <row r="29" ht="20.05" customHeight="1">
      <c r="B29" t="s" s="10">
        <v>26</v>
      </c>
      <c r="C29" s="13">
        <f>C26+C27+C28-C18-C25</f>
        <v>0</v>
      </c>
      <c r="D29" s="14">
        <f>D26+D27+D28-D18-D25</f>
        <v>0</v>
      </c>
      <c r="E29" s="14">
        <f>E26+E27+E28-E18-E25</f>
        <v>-2e-12</v>
      </c>
      <c r="F29" s="14">
        <f>F26+F27+F28-F18-F25</f>
        <v>0</v>
      </c>
    </row>
    <row r="30" ht="20.05" customHeight="1">
      <c r="B30" t="s" s="10">
        <v>27</v>
      </c>
      <c r="C30" s="13">
        <f>C18-C26-C27</f>
        <v>-5514.642430170710</v>
      </c>
      <c r="D30" s="14">
        <f>D18-D26-D27</f>
        <v>-5451.446374307280</v>
      </c>
      <c r="E30" s="14">
        <f>E18-E26-E27</f>
        <v>-5384.518015650680</v>
      </c>
      <c r="F30" s="14">
        <f>F18-F26-F27</f>
        <v>-5316.805873407510</v>
      </c>
    </row>
    <row r="31" ht="20.05" customHeight="1">
      <c r="B31" t="s" s="17">
        <v>28</v>
      </c>
      <c r="C31" s="13"/>
      <c r="D31" s="14"/>
      <c r="E31" s="14"/>
      <c r="F31" s="14"/>
    </row>
    <row r="32" ht="20.05" customHeight="1">
      <c r="B32" t="s" s="10">
        <v>29</v>
      </c>
      <c r="C32" s="23">
        <f>'Cashflow '!M29-C11</f>
        <v>2043.115139658580</v>
      </c>
      <c r="D32" s="24">
        <f>C32-D11</f>
        <v>2174.707251385440</v>
      </c>
      <c r="E32" s="24">
        <f>D32-E11</f>
        <v>2313.763968698640</v>
      </c>
      <c r="F32" s="24">
        <f>E32-F11</f>
        <v>2454.388253184980</v>
      </c>
    </row>
    <row r="33" ht="20.05" customHeight="1">
      <c r="B33" t="s" s="10">
        <v>30</v>
      </c>
      <c r="C33" s="23"/>
      <c r="D33" s="24"/>
      <c r="E33" s="24"/>
      <c r="F33" s="24">
        <v>19270</v>
      </c>
    </row>
    <row r="34" ht="20.05" customHeight="1">
      <c r="B34" t="s" s="10">
        <v>31</v>
      </c>
      <c r="C34" s="23"/>
      <c r="D34" s="24"/>
      <c r="E34" s="24"/>
      <c r="F34" s="25">
        <f>F33/(F18+F25)</f>
        <v>10.7943087609231</v>
      </c>
    </row>
    <row r="35" ht="20.05" customHeight="1">
      <c r="B35" t="s" s="10">
        <v>32</v>
      </c>
      <c r="C35" s="23"/>
      <c r="D35" s="24"/>
      <c r="E35" s="24"/>
      <c r="F35" s="26">
        <f>-(C13+D13+E13+F13)/F33</f>
        <v>0.0155938830613643</v>
      </c>
    </row>
    <row r="36" ht="20.05" customHeight="1">
      <c r="B36" t="s" s="10">
        <v>33</v>
      </c>
      <c r="C36" s="23"/>
      <c r="D36" s="24"/>
      <c r="E36" s="24"/>
      <c r="F36" s="24">
        <f>SUM(C9:F10)</f>
        <v>580.188253184982</v>
      </c>
    </row>
    <row r="37" ht="20.05" customHeight="1">
      <c r="B37" t="s" s="10">
        <v>34</v>
      </c>
      <c r="C37" s="23"/>
      <c r="D37" s="24"/>
      <c r="E37" s="24"/>
      <c r="F37" s="24">
        <f>'Balance sheet'!E30/F36</f>
        <v>2.53193681867192</v>
      </c>
    </row>
    <row r="38" ht="20.05" customHeight="1">
      <c r="B38" t="s" s="10">
        <v>28</v>
      </c>
      <c r="C38" s="23"/>
      <c r="D38" s="24"/>
      <c r="E38" s="24"/>
      <c r="F38" s="24">
        <f>F33/F36</f>
        <v>33.2133577234907</v>
      </c>
    </row>
    <row r="39" ht="20.05" customHeight="1">
      <c r="B39" t="s" s="10">
        <v>35</v>
      </c>
      <c r="C39" s="23"/>
      <c r="D39" s="24"/>
      <c r="E39" s="24"/>
      <c r="F39" s="24">
        <v>35</v>
      </c>
    </row>
    <row r="40" ht="20.05" customHeight="1">
      <c r="B40" t="s" s="10">
        <v>36</v>
      </c>
      <c r="C40" s="23"/>
      <c r="D40" s="24"/>
      <c r="E40" s="24"/>
      <c r="F40" s="24">
        <f>F36*F39</f>
        <v>20306.5888614744</v>
      </c>
    </row>
    <row r="41" ht="20.05" customHeight="1">
      <c r="B41" t="s" s="10">
        <v>37</v>
      </c>
      <c r="C41" s="23"/>
      <c r="D41" s="24"/>
      <c r="E41" s="24"/>
      <c r="F41" s="24">
        <f>F33/F43</f>
        <v>36.3653519531987</v>
      </c>
    </row>
    <row r="42" ht="20.05" customHeight="1">
      <c r="B42" t="s" s="10">
        <v>38</v>
      </c>
      <c r="C42" s="23"/>
      <c r="D42" s="24"/>
      <c r="E42" s="24"/>
      <c r="F42" s="24">
        <f>F40/F41</f>
        <v>558.404848868463</v>
      </c>
    </row>
    <row r="43" ht="20.05" customHeight="1">
      <c r="B43" t="s" s="10">
        <v>39</v>
      </c>
      <c r="C43" s="23"/>
      <c r="D43" s="24"/>
      <c r="E43" s="24"/>
      <c r="F43" s="24">
        <f>'Share price'!B19</f>
        <v>529.9</v>
      </c>
    </row>
    <row r="44" ht="20.05" customHeight="1">
      <c r="B44" t="s" s="10">
        <v>40</v>
      </c>
      <c r="C44" s="23"/>
      <c r="D44" s="24"/>
      <c r="E44" s="24"/>
      <c r="F44" s="16">
        <f>F42/F43-1</f>
        <v>0.0537928833147065</v>
      </c>
    </row>
    <row r="45" ht="20.05" customHeight="1">
      <c r="B45" t="s" s="10">
        <v>41</v>
      </c>
      <c r="C45" s="23"/>
      <c r="D45" s="24"/>
      <c r="E45" s="24"/>
      <c r="F45" s="16">
        <f>'Sales'!C30/'Sales'!C26-1</f>
        <v>0.0309917355371901</v>
      </c>
    </row>
    <row r="46" ht="20.05" customHeight="1">
      <c r="B46" t="s" s="10">
        <v>42</v>
      </c>
      <c r="C46" s="23"/>
      <c r="D46" s="24"/>
      <c r="E46" s="24"/>
      <c r="F46" s="16">
        <f>('Sales'!D26+'Sales'!D27+'Sales'!D28+'Sales'!D29+'Sales'!D30)/('Sales'!C26+'Sales'!C27+'Sales'!C28+'Sales'!C29+'Sales'!C30)-1</f>
        <v>0.00181957787890705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B3:G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88281" style="27" customWidth="1"/>
    <col min="2" max="2" width="10.8906" style="27" customWidth="1"/>
    <col min="3" max="3" width="11.7734" style="27" customWidth="1"/>
    <col min="4" max="4" width="14.375" style="27" customWidth="1"/>
    <col min="5" max="7" width="11.7734" style="27" customWidth="1"/>
    <col min="8" max="16384" width="16.3516" style="27" customWidth="1"/>
  </cols>
  <sheetData>
    <row r="1" ht="29.2" customHeight="1"/>
    <row r="2" ht="27.65" customHeight="1">
      <c r="B2" t="s" s="2">
        <v>5</v>
      </c>
      <c r="C2" s="2"/>
      <c r="D2" s="2"/>
      <c r="E2" s="2"/>
      <c r="F2" s="2"/>
      <c r="G2" s="2"/>
    </row>
    <row r="3" ht="32.25" customHeight="1">
      <c r="B3" t="s" s="4">
        <v>1</v>
      </c>
      <c r="C3" t="s" s="4">
        <v>5</v>
      </c>
      <c r="D3" t="s" s="4">
        <v>35</v>
      </c>
      <c r="E3" t="s" s="4">
        <v>43</v>
      </c>
      <c r="F3" t="s" s="4">
        <v>44</v>
      </c>
      <c r="G3" t="s" s="4">
        <v>45</v>
      </c>
    </row>
    <row r="4" ht="20.25" customHeight="1">
      <c r="B4" s="28">
        <v>2015</v>
      </c>
      <c r="C4" s="29">
        <v>502</v>
      </c>
      <c r="D4" s="30"/>
      <c r="E4" s="31"/>
      <c r="F4" s="31">
        <f>('Cashflow '!B3+'Cashflow '!C3-C4)/C4</f>
        <v>-0.890438247011952</v>
      </c>
      <c r="G4" s="31"/>
    </row>
    <row r="5" ht="20.05" customHeight="1">
      <c r="B5" s="32"/>
      <c r="C5" s="13">
        <v>489</v>
      </c>
      <c r="D5" s="14"/>
      <c r="E5" s="33">
        <f>C5/C4-1</f>
        <v>-0.0258964143426295</v>
      </c>
      <c r="F5" s="33">
        <f>('Cashflow '!B4+'Cashflow '!C4-C5)/C5</f>
        <v>-0.8936605316973421</v>
      </c>
      <c r="G5" s="33"/>
    </row>
    <row r="6" ht="20.05" customHeight="1">
      <c r="B6" s="32"/>
      <c r="C6" s="13">
        <v>484</v>
      </c>
      <c r="D6" s="14"/>
      <c r="E6" s="33">
        <f>C6/C5-1</f>
        <v>-0.0102249488752556</v>
      </c>
      <c r="F6" s="33">
        <f>('Cashflow '!B5+'Cashflow '!C5-C6)/C6</f>
        <v>-0.90702479338843</v>
      </c>
      <c r="G6" s="33"/>
    </row>
    <row r="7" ht="20.05" customHeight="1">
      <c r="B7" s="32"/>
      <c r="C7" s="13">
        <v>741</v>
      </c>
      <c r="D7" s="14"/>
      <c r="E7" s="33">
        <f>C7/C6-1</f>
        <v>0.53099173553719</v>
      </c>
      <c r="F7" s="33">
        <f>('Cashflow '!B6+'Cashflow '!C6-C7)/C7</f>
        <v>-0.882591093117409</v>
      </c>
      <c r="G7" s="33"/>
    </row>
    <row r="8" ht="20.05" customHeight="1">
      <c r="B8" s="34">
        <v>2016</v>
      </c>
      <c r="C8" s="13">
        <v>539</v>
      </c>
      <c r="D8" s="14"/>
      <c r="E8" s="33">
        <f>C8/C7-1</f>
        <v>-0.272604588394062</v>
      </c>
      <c r="F8" s="33">
        <f>('Cashflow '!B7+'Cashflow '!C7-C8)/C8</f>
        <v>-0.940630797773655</v>
      </c>
      <c r="G8" s="16">
        <f>AVERAGE(F5:F8)</f>
        <v>-0.905976803994209</v>
      </c>
    </row>
    <row r="9" ht="20.05" customHeight="1">
      <c r="B9" s="32"/>
      <c r="C9" s="13">
        <v>548</v>
      </c>
      <c r="D9" s="14"/>
      <c r="E9" s="33">
        <f>C9/C8-1</f>
        <v>0.0166975881261596</v>
      </c>
      <c r="F9" s="33">
        <f>('Cashflow '!B8+'Cashflow '!C8-C9)/C9</f>
        <v>-0.892335766423358</v>
      </c>
      <c r="G9" s="16">
        <f>AVERAGE(F6:F9)</f>
        <v>-0.905645612675713</v>
      </c>
    </row>
    <row r="10" ht="20.05" customHeight="1">
      <c r="B10" s="32"/>
      <c r="C10" s="13">
        <v>567</v>
      </c>
      <c r="D10" s="14"/>
      <c r="E10" s="33">
        <f>C10/C9-1</f>
        <v>0.0346715328467153</v>
      </c>
      <c r="F10" s="33">
        <f>('Cashflow '!B9+'Cashflow '!C9-C10)/C10</f>
        <v>-0.830687830687831</v>
      </c>
      <c r="G10" s="16">
        <f>AVERAGE(F7:F10)</f>
        <v>-0.886561372000563</v>
      </c>
    </row>
    <row r="11" ht="20.05" customHeight="1">
      <c r="B11" s="32"/>
      <c r="C11" s="13">
        <v>820</v>
      </c>
      <c r="D11" s="14"/>
      <c r="E11" s="33">
        <f>C11/C10-1</f>
        <v>0.44620811287478</v>
      </c>
      <c r="F11" s="33">
        <f>('Cashflow '!B10+'Cashflow '!C10-C11)/C11</f>
        <v>-0.95</v>
      </c>
      <c r="G11" s="16">
        <f>AVERAGE(F8:F11)</f>
        <v>-0.903413598721211</v>
      </c>
    </row>
    <row r="12" ht="20.05" customHeight="1">
      <c r="B12" s="34">
        <v>2017</v>
      </c>
      <c r="C12" s="13">
        <v>625</v>
      </c>
      <c r="D12" s="14"/>
      <c r="E12" s="33">
        <f>C12/C11-1</f>
        <v>-0.23780487804878</v>
      </c>
      <c r="F12" s="33">
        <f>('Cashflow '!B11+'Cashflow '!C11-C12)/C12</f>
        <v>-0.8656</v>
      </c>
      <c r="G12" s="16">
        <f>AVERAGE(F9:F12)</f>
        <v>-0.884655899277797</v>
      </c>
    </row>
    <row r="13" ht="20.05" customHeight="1">
      <c r="B13" s="32"/>
      <c r="C13" s="13">
        <v>628</v>
      </c>
      <c r="D13" s="14"/>
      <c r="E13" s="33">
        <f>C13/C12-1</f>
        <v>0.0048</v>
      </c>
      <c r="F13" s="33">
        <f>('Cashflow '!B12+'Cashflow '!C12-C13)/C13</f>
        <v>-0.898089171974522</v>
      </c>
      <c r="G13" s="16">
        <f>AVERAGE(F10:F13)</f>
        <v>-0.886094250665588</v>
      </c>
    </row>
    <row r="14" ht="20.05" customHeight="1">
      <c r="B14" s="32"/>
      <c r="C14" s="13">
        <v>643</v>
      </c>
      <c r="D14" s="14"/>
      <c r="E14" s="33">
        <f>C14/C13-1</f>
        <v>0.0238853503184713</v>
      </c>
      <c r="F14" s="33">
        <f>('Cashflow '!B13+'Cashflow '!C13-C14)/C14</f>
        <v>-0.849144634525661</v>
      </c>
      <c r="G14" s="16">
        <f>AVERAGE(F11:F14)</f>
        <v>-0.890708451625046</v>
      </c>
    </row>
    <row r="15" ht="20.05" customHeight="1">
      <c r="B15" s="32"/>
      <c r="C15" s="13">
        <v>891</v>
      </c>
      <c r="D15" s="14"/>
      <c r="E15" s="33">
        <f>C15/C14-1</f>
        <v>0.385692068429238</v>
      </c>
      <c r="F15" s="33">
        <f>('Cashflow '!B14+'Cashflow '!C14-C15)/C15</f>
        <v>-0.904601571268238</v>
      </c>
      <c r="G15" s="16">
        <f>AVERAGE(F12:F15)</f>
        <v>-0.879358844442105</v>
      </c>
    </row>
    <row r="16" ht="20.05" customHeight="1">
      <c r="B16" s="34">
        <v>2018</v>
      </c>
      <c r="C16" s="13">
        <v>784</v>
      </c>
      <c r="D16" s="14"/>
      <c r="E16" s="33">
        <f>C16/C15-1</f>
        <v>-0.120089786756453</v>
      </c>
      <c r="F16" s="33">
        <f>('Cashflow '!B15+'Cashflow '!C15-C16)/C16</f>
        <v>-0.872448979591837</v>
      </c>
      <c r="G16" s="16">
        <f>AVERAGE(F13:F16)</f>
        <v>-0.881071089340065</v>
      </c>
    </row>
    <row r="17" ht="20.05" customHeight="1">
      <c r="B17" s="32"/>
      <c r="C17" s="13">
        <v>779</v>
      </c>
      <c r="D17" s="14"/>
      <c r="E17" s="33">
        <f>C17/C16-1</f>
        <v>-0.00637755102040816</v>
      </c>
      <c r="F17" s="33">
        <f>('Cashflow '!B16+'Cashflow '!C16-C17)/C17</f>
        <v>-0.880616174582798</v>
      </c>
      <c r="G17" s="16">
        <f>AVERAGE(F14:F17)</f>
        <v>-0.8767028399921341</v>
      </c>
    </row>
    <row r="18" ht="20.05" customHeight="1">
      <c r="B18" s="32"/>
      <c r="C18" s="13">
        <v>785</v>
      </c>
      <c r="D18" s="14"/>
      <c r="E18" s="33">
        <f>C18/C17-1</f>
        <v>0.00770218228498074</v>
      </c>
      <c r="F18" s="33">
        <f>('Cashflow '!B17+'Cashflow '!C17-C18)/C18</f>
        <v>-0.885350318471338</v>
      </c>
      <c r="G18" s="16">
        <f>AVERAGE(F15:F18)</f>
        <v>-0.885754260978553</v>
      </c>
    </row>
    <row r="19" ht="20.05" customHeight="1">
      <c r="B19" s="32"/>
      <c r="C19" s="13">
        <v>1082</v>
      </c>
      <c r="D19" s="14"/>
      <c r="E19" s="33">
        <f>C19/C18-1</f>
        <v>0.378343949044586</v>
      </c>
      <c r="F19" s="33">
        <f>('Cashflow '!B18+'Cashflow '!C18-C19)/C19</f>
        <v>-0.875231053604436</v>
      </c>
      <c r="G19" s="16">
        <f>AVERAGE(F16:F19)</f>
        <v>-0.878411631562602</v>
      </c>
    </row>
    <row r="20" ht="20.05" customHeight="1">
      <c r="B20" s="34">
        <v>2019</v>
      </c>
      <c r="C20" s="13">
        <v>836</v>
      </c>
      <c r="D20" s="14"/>
      <c r="E20" s="33">
        <f>C20/C19-1</f>
        <v>-0.22735674676525</v>
      </c>
      <c r="F20" s="33">
        <f>('Cashflow '!B19+'Cashflow '!C19-C20)/C20</f>
        <v>-0.873205741626794</v>
      </c>
      <c r="G20" s="16">
        <f>AVERAGE(F17:F20)</f>
        <v>-0.878600822071342</v>
      </c>
    </row>
    <row r="21" ht="20.05" customHeight="1">
      <c r="B21" s="32"/>
      <c r="C21" s="13">
        <v>813</v>
      </c>
      <c r="D21" s="14"/>
      <c r="E21" s="33">
        <f>C21/C20-1</f>
        <v>-0.027511961722488</v>
      </c>
      <c r="F21" s="33">
        <f>('Cashflow '!B20+'Cashflow '!C20-C21)/C21</f>
        <v>-0.869618696186962</v>
      </c>
      <c r="G21" s="16">
        <f>AVERAGE(F18:F21)</f>
        <v>-0.8758514524723831</v>
      </c>
    </row>
    <row r="22" ht="20.05" customHeight="1">
      <c r="B22" s="32"/>
      <c r="C22" s="13">
        <v>821</v>
      </c>
      <c r="D22" s="14"/>
      <c r="E22" s="33">
        <f>C22/C21-1</f>
        <v>0.00984009840098401</v>
      </c>
      <c r="F22" s="33">
        <f>('Cashflow '!B21+'Cashflow '!C21-C22)/C22</f>
        <v>-0.875761266747868</v>
      </c>
      <c r="G22" s="16">
        <f>AVERAGE(F19:F22)</f>
        <v>-0.873454189541515</v>
      </c>
    </row>
    <row r="23" ht="20.05" customHeight="1">
      <c r="B23" s="32"/>
      <c r="C23" s="13">
        <v>1151</v>
      </c>
      <c r="D23" s="14"/>
      <c r="E23" s="33">
        <f>C23/C22-1</f>
        <v>0.401948842874543</v>
      </c>
      <c r="F23" s="33">
        <f>('Cashflow '!B22+'Cashflow '!C22-C23)/C23</f>
        <v>-0.873153779322328</v>
      </c>
      <c r="G23" s="16">
        <f>AVERAGE(F20:F23)</f>
        <v>-0.872934870970988</v>
      </c>
    </row>
    <row r="24" ht="20.05" customHeight="1">
      <c r="B24" s="34">
        <v>2020</v>
      </c>
      <c r="C24" s="13">
        <v>873</v>
      </c>
      <c r="D24" s="14"/>
      <c r="E24" s="33">
        <f>C24/C23-1</f>
        <v>-0.241529105125977</v>
      </c>
      <c r="F24" s="33">
        <f>('Cashflow '!B23+'Cashflow '!C23-C24)/C24</f>
        <v>-0.868270332187858</v>
      </c>
      <c r="G24" s="16">
        <f>AVERAGE(F21:F24)</f>
        <v>-0.871701018611254</v>
      </c>
    </row>
    <row r="25" ht="20.05" customHeight="1">
      <c r="B25" s="32"/>
      <c r="C25" s="13">
        <v>919.3</v>
      </c>
      <c r="D25" s="14"/>
      <c r="E25" s="33">
        <f>C25/C24-1</f>
        <v>0.0530355097365407</v>
      </c>
      <c r="F25" s="33">
        <f>('Cashflow '!B24+'Cashflow '!C24-C25)/C25</f>
        <v>-0.870553682149462</v>
      </c>
      <c r="G25" s="16">
        <f>AVERAGE(F22:F25)</f>
        <v>-0.871934765101879</v>
      </c>
    </row>
    <row r="26" ht="20.05" customHeight="1">
      <c r="B26" s="32"/>
      <c r="C26" s="13">
        <v>968</v>
      </c>
      <c r="D26" s="14">
        <v>927.73</v>
      </c>
      <c r="E26" s="33">
        <f>C26/C25-1</f>
        <v>0.0529750897421951</v>
      </c>
      <c r="F26" s="33">
        <f>('Cashflow '!B25+'Cashflow '!C25-C26)/C26</f>
        <v>-0.87603305785124</v>
      </c>
      <c r="G26" s="16">
        <f>AVERAGE(F23:F26)</f>
        <v>-0.872002712877722</v>
      </c>
    </row>
    <row r="27" ht="20.05" customHeight="1">
      <c r="B27" s="32"/>
      <c r="C27" s="13">
        <v>1356.7</v>
      </c>
      <c r="D27" s="14">
        <v>1266.1</v>
      </c>
      <c r="E27" s="33">
        <f>C27/C26-1</f>
        <v>0.40154958677686</v>
      </c>
      <c r="F27" s="33">
        <f>('Cashflow '!B26+'Cashflow '!C26-C27)/C27</f>
        <v>-0.8592172182501659</v>
      </c>
      <c r="G27" s="16">
        <f>AVERAGE(F24:F27)</f>
        <v>-0.868518572609682</v>
      </c>
    </row>
    <row r="28" ht="20.05" customHeight="1">
      <c r="B28" s="34">
        <v>2021</v>
      </c>
      <c r="C28" s="18">
        <v>984</v>
      </c>
      <c r="D28" s="14">
        <v>1058.226</v>
      </c>
      <c r="E28" s="33">
        <f>C28/C27-1</f>
        <v>-0.274710695068917</v>
      </c>
      <c r="F28" s="33">
        <f>('Cashflow '!B27+'Cashflow '!C27-C28)/C28</f>
        <v>-0.858739837398374</v>
      </c>
      <c r="G28" s="16">
        <f>AVERAGE(F25:F28)</f>
        <v>-0.866135948912311</v>
      </c>
    </row>
    <row r="29" ht="20.05" customHeight="1">
      <c r="B29" s="32"/>
      <c r="C29" s="13">
        <v>1033</v>
      </c>
      <c r="D29" s="14">
        <v>1023.36</v>
      </c>
      <c r="E29" s="33">
        <f>C29/C28-1</f>
        <v>0.0497967479674797</v>
      </c>
      <c r="F29" s="33">
        <f>('Cashflow '!B28+'Cashflow '!C28-C29)/C29</f>
        <v>-0.861568247821878</v>
      </c>
      <c r="G29" s="16">
        <f>AVERAGE(F26:F29)</f>
        <v>-0.863889590330415</v>
      </c>
    </row>
    <row r="30" ht="20.05" customHeight="1">
      <c r="B30" s="32"/>
      <c r="C30" s="13">
        <v>998</v>
      </c>
      <c r="D30" s="14">
        <v>1074</v>
      </c>
      <c r="E30" s="33">
        <f>C30/C29-1</f>
        <v>-0.0338818973862536</v>
      </c>
      <c r="F30" s="33">
        <f>('Cashflow '!B29+'Cashflow '!C29-C30)/C30</f>
        <v>-0.8664328657314631</v>
      </c>
      <c r="G30" s="16">
        <f>AVERAGE(F27:F30)</f>
        <v>-0.86148954230047</v>
      </c>
    </row>
    <row r="31" ht="20.05" customHeight="1">
      <c r="B31" s="32"/>
      <c r="C31" s="13"/>
      <c r="D31" s="14">
        <f>'Model'!C6</f>
        <v>1347.3</v>
      </c>
      <c r="E31" s="16"/>
      <c r="F31" s="16"/>
      <c r="G31" s="16">
        <f>'Model'!C7</f>
        <v>-0.86148954230047</v>
      </c>
    </row>
    <row r="32" ht="20.05" customHeight="1">
      <c r="B32" s="34">
        <v>2022</v>
      </c>
      <c r="C32" s="13"/>
      <c r="D32" s="14">
        <f>'Model'!D6</f>
        <v>1077.84</v>
      </c>
      <c r="E32" s="16"/>
      <c r="F32" s="16"/>
      <c r="G32" s="16"/>
    </row>
    <row r="33" ht="20.05" customHeight="1">
      <c r="B33" s="32"/>
      <c r="C33" s="13"/>
      <c r="D33" s="14">
        <f>'Model'!E6</f>
        <v>1131.732</v>
      </c>
      <c r="E33" s="16"/>
      <c r="F33" s="16"/>
      <c r="G33" s="16"/>
    </row>
    <row r="34" ht="20.05" customHeight="1">
      <c r="B34" s="32"/>
      <c r="C34" s="13"/>
      <c r="D34" s="14">
        <f>'Model'!F6</f>
        <v>1143.04932</v>
      </c>
      <c r="E34" s="16"/>
      <c r="F34" s="16"/>
      <c r="G34" s="16"/>
    </row>
  </sheetData>
  <mergeCells count="1">
    <mergeCell ref="B2:G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M30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8.03906" style="35" customWidth="1"/>
    <col min="2" max="13" width="10.3047" style="35" customWidth="1"/>
    <col min="14" max="16384" width="16.3516" style="35" customWidth="1"/>
  </cols>
  <sheetData>
    <row r="1" ht="27.65" customHeight="1">
      <c r="A1" t="s" s="2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2.25" customHeight="1">
      <c r="A2" t="s" s="4">
        <v>1</v>
      </c>
      <c r="B2" t="s" s="4">
        <v>46</v>
      </c>
      <c r="C2" t="s" s="4">
        <v>19</v>
      </c>
      <c r="D2" t="s" s="4">
        <v>47</v>
      </c>
      <c r="E2" t="s" s="4">
        <v>48</v>
      </c>
      <c r="F2" t="s" s="4">
        <v>8</v>
      </c>
      <c r="G2" t="s" s="4">
        <v>9</v>
      </c>
      <c r="H2" t="s" s="4">
        <v>11</v>
      </c>
      <c r="I2" t="s" s="4">
        <v>25</v>
      </c>
      <c r="J2" t="s" s="4">
        <v>49</v>
      </c>
      <c r="K2" t="s" s="4">
        <v>50</v>
      </c>
      <c r="L2" t="s" s="4">
        <v>33</v>
      </c>
      <c r="M2" t="s" s="4">
        <v>51</v>
      </c>
    </row>
    <row r="3" ht="20.25" customHeight="1">
      <c r="A3" s="28">
        <v>2015</v>
      </c>
      <c r="B3" s="29">
        <v>46</v>
      </c>
      <c r="C3" s="30">
        <v>9</v>
      </c>
      <c r="D3" s="30">
        <f>F3-C3-B3</f>
        <v>30</v>
      </c>
      <c r="E3" s="30"/>
      <c r="F3" s="30">
        <v>85</v>
      </c>
      <c r="G3" s="30">
        <v>0.2</v>
      </c>
      <c r="H3" s="30"/>
      <c r="I3" s="30"/>
      <c r="J3" s="30">
        <v>-41</v>
      </c>
      <c r="K3" s="30">
        <f>F3+G3</f>
        <v>85.2</v>
      </c>
      <c r="L3" s="30"/>
      <c r="M3" s="30">
        <f>-J3</f>
        <v>41</v>
      </c>
    </row>
    <row r="4" ht="20.05" customHeight="1">
      <c r="A4" s="32"/>
      <c r="B4" s="13">
        <v>46</v>
      </c>
      <c r="C4" s="14">
        <v>6</v>
      </c>
      <c r="D4" s="14">
        <f>F4-C4-B4</f>
        <v>-33</v>
      </c>
      <c r="E4" s="14"/>
      <c r="F4" s="14">
        <v>19</v>
      </c>
      <c r="G4" s="14">
        <v>13.8</v>
      </c>
      <c r="H4" s="14"/>
      <c r="I4" s="14"/>
      <c r="J4" s="14">
        <v>-82</v>
      </c>
      <c r="K4" s="14">
        <f>F4+G4</f>
        <v>32.8</v>
      </c>
      <c r="L4" s="14"/>
      <c r="M4" s="14">
        <f>-J4+M3</f>
        <v>123</v>
      </c>
    </row>
    <row r="5" ht="20.05" customHeight="1">
      <c r="A5" s="32"/>
      <c r="B5" s="13">
        <v>38</v>
      </c>
      <c r="C5" s="14">
        <v>7</v>
      </c>
      <c r="D5" s="14">
        <f>F5-C5-B5</f>
        <v>18</v>
      </c>
      <c r="E5" s="14"/>
      <c r="F5" s="14">
        <v>63</v>
      </c>
      <c r="G5" s="14">
        <v>-6</v>
      </c>
      <c r="H5" s="14"/>
      <c r="I5" s="14"/>
      <c r="J5" s="14">
        <v>-51</v>
      </c>
      <c r="K5" s="14">
        <f>F5+G5</f>
        <v>57</v>
      </c>
      <c r="L5" s="14"/>
      <c r="M5" s="14">
        <f>-J5+M4</f>
        <v>174</v>
      </c>
    </row>
    <row r="6" ht="20.05" customHeight="1">
      <c r="A6" s="32"/>
      <c r="B6" s="13">
        <v>63</v>
      </c>
      <c r="C6" s="14">
        <v>24</v>
      </c>
      <c r="D6" s="14">
        <f>F6-C6-B6</f>
        <v>38</v>
      </c>
      <c r="E6" s="14"/>
      <c r="F6" s="14">
        <v>125</v>
      </c>
      <c r="G6" s="14">
        <v>-117</v>
      </c>
      <c r="H6" s="14"/>
      <c r="I6" s="14"/>
      <c r="J6" s="14">
        <v>93</v>
      </c>
      <c r="K6" s="14">
        <f>F6+G6</f>
        <v>8</v>
      </c>
      <c r="L6" s="14"/>
      <c r="M6" s="14">
        <f>-J6+M5</f>
        <v>81</v>
      </c>
    </row>
    <row r="7" ht="20.05" customHeight="1">
      <c r="A7" s="34">
        <v>2016</v>
      </c>
      <c r="B7" s="13">
        <v>45</v>
      </c>
      <c r="C7" s="14">
        <v>-13</v>
      </c>
      <c r="D7" s="14">
        <f>F7-C7-B7</f>
        <v>-15</v>
      </c>
      <c r="E7" s="14"/>
      <c r="F7" s="14">
        <v>17</v>
      </c>
      <c r="G7" s="14">
        <v>17</v>
      </c>
      <c r="H7" s="14"/>
      <c r="I7" s="14"/>
      <c r="J7" s="14">
        <v>10</v>
      </c>
      <c r="K7" s="14">
        <f>F7+G7</f>
        <v>34</v>
      </c>
      <c r="L7" s="14">
        <f>AVERAGE(K4:K7)</f>
        <v>32.95</v>
      </c>
      <c r="M7" s="14">
        <f>-J7+M6</f>
        <v>71</v>
      </c>
    </row>
    <row r="8" ht="20.05" customHeight="1">
      <c r="A8" s="32"/>
      <c r="B8" s="13">
        <v>50</v>
      </c>
      <c r="C8" s="14">
        <v>9</v>
      </c>
      <c r="D8" s="14">
        <f>F8-C8-B8</f>
        <v>-6</v>
      </c>
      <c r="E8" s="14"/>
      <c r="F8" s="14">
        <v>53</v>
      </c>
      <c r="G8" s="14">
        <v>33</v>
      </c>
      <c r="H8" s="14"/>
      <c r="I8" s="14"/>
      <c r="J8" s="14">
        <v>-240</v>
      </c>
      <c r="K8" s="14">
        <f>F8+G8</f>
        <v>86</v>
      </c>
      <c r="L8" s="14">
        <f>AVERAGE(K5:K8)</f>
        <v>46.25</v>
      </c>
      <c r="M8" s="14">
        <f>-J8+M7</f>
        <v>311</v>
      </c>
    </row>
    <row r="9" ht="20.05" customHeight="1">
      <c r="A9" s="32"/>
      <c r="B9" s="13">
        <v>47</v>
      </c>
      <c r="C9" s="14">
        <v>49</v>
      </c>
      <c r="D9" s="14">
        <f>F9-C9-B9</f>
        <v>-3</v>
      </c>
      <c r="E9" s="14"/>
      <c r="F9" s="14">
        <v>93</v>
      </c>
      <c r="G9" s="14">
        <v>-28</v>
      </c>
      <c r="H9" s="14"/>
      <c r="I9" s="14"/>
      <c r="J9" s="14">
        <v>-58</v>
      </c>
      <c r="K9" s="14">
        <f>F9+G9</f>
        <v>65</v>
      </c>
      <c r="L9" s="14">
        <f>AVERAGE(K6:K9)</f>
        <v>48.25</v>
      </c>
      <c r="M9" s="14">
        <f>-J9+M8</f>
        <v>369</v>
      </c>
    </row>
    <row r="10" ht="20.05" customHeight="1">
      <c r="A10" s="32"/>
      <c r="B10" s="13">
        <v>73</v>
      </c>
      <c r="C10" s="14">
        <v>-32</v>
      </c>
      <c r="D10" s="14">
        <f>F10-C10-B10</f>
        <v>83</v>
      </c>
      <c r="E10" s="14"/>
      <c r="F10" s="14">
        <v>124</v>
      </c>
      <c r="G10" s="14">
        <v>-23</v>
      </c>
      <c r="H10" s="14"/>
      <c r="I10" s="14"/>
      <c r="J10" s="14">
        <v>-88</v>
      </c>
      <c r="K10" s="14">
        <f>F10+G10</f>
        <v>101</v>
      </c>
      <c r="L10" s="14">
        <f>AVERAGE(K7:K10)</f>
        <v>71.5</v>
      </c>
      <c r="M10" s="14">
        <f>-J10+M9</f>
        <v>457</v>
      </c>
    </row>
    <row r="11" ht="20.05" customHeight="1">
      <c r="A11" s="34">
        <v>2017</v>
      </c>
      <c r="B11" s="13">
        <v>62</v>
      </c>
      <c r="C11" s="14">
        <v>22</v>
      </c>
      <c r="D11" s="14">
        <f>F11-C11-B11</f>
        <v>2</v>
      </c>
      <c r="E11" s="14"/>
      <c r="F11" s="14">
        <v>86</v>
      </c>
      <c r="G11" s="14">
        <v>-50</v>
      </c>
      <c r="H11" s="14"/>
      <c r="I11" s="14"/>
      <c r="J11" s="14">
        <v>-26</v>
      </c>
      <c r="K11" s="14">
        <f>F11+G11</f>
        <v>36</v>
      </c>
      <c r="L11" s="14">
        <f>AVERAGE(K8:K11)</f>
        <v>72</v>
      </c>
      <c r="M11" s="14">
        <f>-J11+M10</f>
        <v>483</v>
      </c>
    </row>
    <row r="12" ht="20.05" customHeight="1">
      <c r="A12" s="32"/>
      <c r="B12" s="13">
        <v>66</v>
      </c>
      <c r="C12" s="14">
        <v>-2</v>
      </c>
      <c r="D12" s="14">
        <f>F12-C12-B12</f>
        <v>-34</v>
      </c>
      <c r="E12" s="14"/>
      <c r="F12" s="14">
        <v>30</v>
      </c>
      <c r="G12" s="14">
        <v>-10</v>
      </c>
      <c r="H12" s="14"/>
      <c r="I12" s="14"/>
      <c r="J12" s="14">
        <v>-20</v>
      </c>
      <c r="K12" s="14">
        <f>F12+G12</f>
        <v>20</v>
      </c>
      <c r="L12" s="14">
        <f>AVERAGE(K9:K12)</f>
        <v>55.5</v>
      </c>
      <c r="M12" s="14">
        <f>-J12+M11</f>
        <v>503</v>
      </c>
    </row>
    <row r="13" ht="20.05" customHeight="1">
      <c r="A13" s="32"/>
      <c r="B13" s="13">
        <v>57</v>
      </c>
      <c r="C13" s="14">
        <v>40</v>
      </c>
      <c r="D13" s="14">
        <f>F13-C13-B13</f>
        <v>9</v>
      </c>
      <c r="E13" s="14"/>
      <c r="F13" s="14">
        <v>106</v>
      </c>
      <c r="G13" s="14">
        <v>-44</v>
      </c>
      <c r="H13" s="14"/>
      <c r="I13" s="14"/>
      <c r="J13" s="14">
        <v>-54</v>
      </c>
      <c r="K13" s="14">
        <f>F13+G13</f>
        <v>62</v>
      </c>
      <c r="L13" s="14">
        <f>AVERAGE(K10:K13)</f>
        <v>54.75</v>
      </c>
      <c r="M13" s="14">
        <f>-J13+M12</f>
        <v>557</v>
      </c>
    </row>
    <row r="14" ht="20.05" customHeight="1">
      <c r="A14" s="32"/>
      <c r="B14" s="13">
        <v>93</v>
      </c>
      <c r="C14" s="14">
        <v>-8</v>
      </c>
      <c r="D14" s="14">
        <f>F14-C14-B14</f>
        <v>32</v>
      </c>
      <c r="E14" s="14"/>
      <c r="F14" s="14">
        <v>117</v>
      </c>
      <c r="G14" s="14">
        <v>-45</v>
      </c>
      <c r="H14" s="14"/>
      <c r="I14" s="14"/>
      <c r="J14" s="14">
        <v>-97</v>
      </c>
      <c r="K14" s="14">
        <f>F14+G14</f>
        <v>72</v>
      </c>
      <c r="L14" s="14">
        <f>AVERAGE(K11:K14)</f>
        <v>47.5</v>
      </c>
      <c r="M14" s="14">
        <f>-J14+M13</f>
        <v>654</v>
      </c>
    </row>
    <row r="15" ht="20.05" customHeight="1">
      <c r="A15" s="34">
        <v>2018</v>
      </c>
      <c r="B15" s="13">
        <v>89</v>
      </c>
      <c r="C15" s="14">
        <v>11</v>
      </c>
      <c r="D15" s="14">
        <f>F15-C15-B15</f>
        <v>-16</v>
      </c>
      <c r="E15" s="14"/>
      <c r="F15" s="14">
        <v>84</v>
      </c>
      <c r="G15" s="14">
        <v>-10</v>
      </c>
      <c r="H15" s="14"/>
      <c r="I15" s="14"/>
      <c r="J15" s="14">
        <v>-108</v>
      </c>
      <c r="K15" s="14">
        <f>F15+G15</f>
        <v>74</v>
      </c>
      <c r="L15" s="14">
        <f>AVERAGE(K12:K15)</f>
        <v>57</v>
      </c>
      <c r="M15" s="14">
        <f>-J15+M14</f>
        <v>762</v>
      </c>
    </row>
    <row r="16" ht="20.05" customHeight="1">
      <c r="A16" s="32"/>
      <c r="B16" s="13">
        <v>77</v>
      </c>
      <c r="C16" s="14">
        <v>16</v>
      </c>
      <c r="D16" s="14">
        <f>F16-C16-B16</f>
        <v>-22</v>
      </c>
      <c r="E16" s="14"/>
      <c r="F16" s="14">
        <v>71</v>
      </c>
      <c r="G16" s="14">
        <v>-34</v>
      </c>
      <c r="H16" s="14"/>
      <c r="I16" s="14"/>
      <c r="J16" s="14">
        <v>78</v>
      </c>
      <c r="K16" s="14">
        <f>F16+G16</f>
        <v>37</v>
      </c>
      <c r="L16" s="14">
        <f>AVERAGE(K13:K16)</f>
        <v>61.25</v>
      </c>
      <c r="M16" s="14">
        <f>-J16+M15</f>
        <v>684</v>
      </c>
    </row>
    <row r="17" ht="20.05" customHeight="1">
      <c r="A17" s="32"/>
      <c r="B17" s="13">
        <v>84</v>
      </c>
      <c r="C17" s="14">
        <v>6</v>
      </c>
      <c r="D17" s="14">
        <f>F17-C17-B17</f>
        <v>18</v>
      </c>
      <c r="E17" s="14"/>
      <c r="F17" s="14">
        <v>108</v>
      </c>
      <c r="G17" s="14">
        <v>-21</v>
      </c>
      <c r="H17" s="14"/>
      <c r="I17" s="14"/>
      <c r="J17" s="14">
        <v>-142</v>
      </c>
      <c r="K17" s="14">
        <f>F17+G17</f>
        <v>87</v>
      </c>
      <c r="L17" s="14">
        <f>AVERAGE(K14:K17)</f>
        <v>67.5</v>
      </c>
      <c r="M17" s="14">
        <f>-J17+M16</f>
        <v>826</v>
      </c>
    </row>
    <row r="18" ht="20.05" customHeight="1">
      <c r="A18" s="32"/>
      <c r="B18" s="13">
        <v>112</v>
      </c>
      <c r="C18" s="14">
        <v>23</v>
      </c>
      <c r="D18" s="14">
        <f>F18-C18-B18</f>
        <v>-4</v>
      </c>
      <c r="E18" s="14"/>
      <c r="F18" s="14">
        <v>131</v>
      </c>
      <c r="G18" s="14">
        <v>-23</v>
      </c>
      <c r="H18" s="14"/>
      <c r="I18" s="14"/>
      <c r="J18" s="14">
        <v>-151</v>
      </c>
      <c r="K18" s="14">
        <f>F18+G18</f>
        <v>108</v>
      </c>
      <c r="L18" s="14">
        <f>AVERAGE(K15:K18)</f>
        <v>76.5</v>
      </c>
      <c r="M18" s="14">
        <f>-J18+M17</f>
        <v>977</v>
      </c>
    </row>
    <row r="19" ht="20.05" customHeight="1">
      <c r="A19" s="34">
        <v>2019</v>
      </c>
      <c r="B19" s="13">
        <v>93</v>
      </c>
      <c r="C19" s="14">
        <v>13</v>
      </c>
      <c r="D19" s="14">
        <f>F19-C19-B19</f>
        <v>-9</v>
      </c>
      <c r="E19" s="14"/>
      <c r="F19" s="14">
        <v>97</v>
      </c>
      <c r="G19" s="14">
        <v>-12</v>
      </c>
      <c r="H19" s="14"/>
      <c r="I19" s="14"/>
      <c r="J19" s="14">
        <v>-55</v>
      </c>
      <c r="K19" s="14">
        <f>F19+G19</f>
        <v>85</v>
      </c>
      <c r="L19" s="14">
        <f>AVERAGE(K16:K19)</f>
        <v>79.25</v>
      </c>
      <c r="M19" s="14">
        <f>-J19+M18</f>
        <v>1032</v>
      </c>
    </row>
    <row r="20" ht="20.05" customHeight="1">
      <c r="A20" s="32"/>
      <c r="B20" s="13">
        <v>92</v>
      </c>
      <c r="C20" s="14">
        <v>14</v>
      </c>
      <c r="D20" s="14">
        <f>F20-C20-B20</f>
        <v>-1</v>
      </c>
      <c r="E20" s="14"/>
      <c r="F20" s="14">
        <v>105</v>
      </c>
      <c r="G20" s="14">
        <v>9</v>
      </c>
      <c r="H20" s="14"/>
      <c r="I20" s="14"/>
      <c r="J20" s="14">
        <v>-59</v>
      </c>
      <c r="K20" s="14">
        <f>F20+G20</f>
        <v>114</v>
      </c>
      <c r="L20" s="14">
        <f>AVERAGE(K17:K20)</f>
        <v>98.5</v>
      </c>
      <c r="M20" s="14">
        <f>-J20+M19</f>
        <v>1091</v>
      </c>
    </row>
    <row r="21" ht="20.05" customHeight="1">
      <c r="A21" s="32"/>
      <c r="B21" s="13">
        <v>86</v>
      </c>
      <c r="C21" s="14">
        <v>16</v>
      </c>
      <c r="D21" s="14">
        <f>F21-C21-B21</f>
        <v>21</v>
      </c>
      <c r="E21" s="14"/>
      <c r="F21" s="14">
        <v>123</v>
      </c>
      <c r="G21" s="14">
        <v>0</v>
      </c>
      <c r="H21" s="14"/>
      <c r="I21" s="14"/>
      <c r="J21" s="14">
        <v>-132</v>
      </c>
      <c r="K21" s="14">
        <f>F21+G21</f>
        <v>123</v>
      </c>
      <c r="L21" s="14">
        <f>AVERAGE(K18:K21)</f>
        <v>107.5</v>
      </c>
      <c r="M21" s="14">
        <f>-J21+M20</f>
        <v>1223</v>
      </c>
    </row>
    <row r="22" ht="20.05" customHeight="1">
      <c r="A22" s="32"/>
      <c r="B22" s="13">
        <v>130</v>
      </c>
      <c r="C22" s="14">
        <v>16</v>
      </c>
      <c r="D22" s="14">
        <f>F22-C22-B22</f>
        <v>26</v>
      </c>
      <c r="E22" s="14"/>
      <c r="F22" s="14">
        <v>172</v>
      </c>
      <c r="G22" s="14">
        <v>-25</v>
      </c>
      <c r="H22" s="14"/>
      <c r="I22" s="14"/>
      <c r="J22" s="14">
        <v>23</v>
      </c>
      <c r="K22" s="14">
        <f>F22+G22</f>
        <v>147</v>
      </c>
      <c r="L22" s="14">
        <f>AVERAGE(K19:K22)</f>
        <v>117.25</v>
      </c>
      <c r="M22" s="14">
        <f>-J22+M21</f>
        <v>1200</v>
      </c>
    </row>
    <row r="23" ht="20.05" customHeight="1">
      <c r="A23" s="34">
        <v>2020</v>
      </c>
      <c r="B23" s="13">
        <v>122</v>
      </c>
      <c r="C23" s="14">
        <v>-7</v>
      </c>
      <c r="D23" s="14">
        <f>F23-C23-B23</f>
        <v>-20</v>
      </c>
      <c r="E23" s="14"/>
      <c r="F23" s="14">
        <v>95</v>
      </c>
      <c r="G23" s="14">
        <v>-18</v>
      </c>
      <c r="H23" s="14"/>
      <c r="I23" s="14"/>
      <c r="J23" s="14">
        <v>-82</v>
      </c>
      <c r="K23" s="14">
        <f>F23+G23</f>
        <v>77</v>
      </c>
      <c r="L23" s="14">
        <f>AVERAGE(K20:K23)</f>
        <v>115.25</v>
      </c>
      <c r="M23" s="14">
        <f>-J23+M22</f>
        <v>1282</v>
      </c>
    </row>
    <row r="24" ht="20.05" customHeight="1">
      <c r="A24" s="32"/>
      <c r="B24" s="13">
        <v>118</v>
      </c>
      <c r="C24" s="14">
        <v>1</v>
      </c>
      <c r="D24" s="14">
        <f>F24-C24-B24</f>
        <v>-2</v>
      </c>
      <c r="E24" s="14"/>
      <c r="F24" s="14">
        <v>117</v>
      </c>
      <c r="G24" s="14">
        <v>-56</v>
      </c>
      <c r="H24" s="14"/>
      <c r="I24" s="14"/>
      <c r="J24" s="14">
        <v>31</v>
      </c>
      <c r="K24" s="14">
        <f>F24+G24</f>
        <v>61</v>
      </c>
      <c r="L24" s="14">
        <f>AVERAGE(K21:K24)</f>
        <v>102</v>
      </c>
      <c r="M24" s="14">
        <f>-J24+M23</f>
        <v>1251</v>
      </c>
    </row>
    <row r="25" ht="20.05" customHeight="1">
      <c r="A25" s="32"/>
      <c r="B25" s="13">
        <v>99</v>
      </c>
      <c r="C25" s="14">
        <v>21</v>
      </c>
      <c r="D25" s="14">
        <f>F25-C25-B25</f>
        <v>38</v>
      </c>
      <c r="E25" s="14"/>
      <c r="F25" s="14">
        <v>158</v>
      </c>
      <c r="G25" s="14">
        <v>-17</v>
      </c>
      <c r="H25" s="14"/>
      <c r="I25" s="14"/>
      <c r="J25" s="14">
        <v>-103</v>
      </c>
      <c r="K25" s="14">
        <f>F25+G25</f>
        <v>141</v>
      </c>
      <c r="L25" s="14">
        <f>AVERAGE(K22:K25)</f>
        <v>106.5</v>
      </c>
      <c r="M25" s="14">
        <f>-J25+M24</f>
        <v>1354</v>
      </c>
    </row>
    <row r="26" ht="20.05" customHeight="1">
      <c r="A26" s="32"/>
      <c r="B26" s="13">
        <v>152</v>
      </c>
      <c r="C26" s="14">
        <v>39</v>
      </c>
      <c r="D26" s="14">
        <f>F26-C26-B26</f>
        <v>32</v>
      </c>
      <c r="E26" s="14"/>
      <c r="F26" s="14">
        <v>223</v>
      </c>
      <c r="G26" s="14">
        <v>-38</v>
      </c>
      <c r="H26" s="14"/>
      <c r="I26" s="14"/>
      <c r="J26" s="14">
        <v>-292</v>
      </c>
      <c r="K26" s="14">
        <f>F26+G26</f>
        <v>185</v>
      </c>
      <c r="L26" s="14">
        <f>AVERAGE(K23:K26)</f>
        <v>116</v>
      </c>
      <c r="M26" s="14">
        <f>-J26+M25</f>
        <v>1646</v>
      </c>
    </row>
    <row r="27" ht="20.05" customHeight="1">
      <c r="A27" s="34">
        <v>2021</v>
      </c>
      <c r="B27" s="13">
        <v>118</v>
      </c>
      <c r="C27" s="14">
        <v>21</v>
      </c>
      <c r="D27" s="14">
        <f>F27-C27-B27</f>
        <v>14</v>
      </c>
      <c r="E27" s="14">
        <v>-17</v>
      </c>
      <c r="F27" s="14">
        <v>153</v>
      </c>
      <c r="G27" s="14">
        <v>-56</v>
      </c>
      <c r="H27" s="14"/>
      <c r="I27" s="14"/>
      <c r="J27" s="14">
        <v>-23</v>
      </c>
      <c r="K27" s="14">
        <f>E27+F27</f>
        <v>136</v>
      </c>
      <c r="L27" s="14">
        <f>AVERAGE(K24:K27)</f>
        <v>130.75</v>
      </c>
      <c r="M27" s="14">
        <f>-J27+M26</f>
        <v>1669</v>
      </c>
    </row>
    <row r="28" ht="20.05" customHeight="1">
      <c r="A28" s="32"/>
      <c r="B28" s="13">
        <v>116</v>
      </c>
      <c r="C28" s="14">
        <v>27</v>
      </c>
      <c r="D28" s="14">
        <f>F28-C28-B28</f>
        <v>-1</v>
      </c>
      <c r="E28" s="14">
        <v>-16</v>
      </c>
      <c r="F28" s="14">
        <v>142</v>
      </c>
      <c r="G28" s="14">
        <v>-17</v>
      </c>
      <c r="H28" s="14"/>
      <c r="I28" s="14"/>
      <c r="J28" s="14">
        <v>-78</v>
      </c>
      <c r="K28" s="14">
        <f>E28+F28</f>
        <v>126</v>
      </c>
      <c r="L28" s="14">
        <f>AVERAGE(K25:K28)</f>
        <v>147</v>
      </c>
      <c r="M28" s="14">
        <f>-J28+M27</f>
        <v>1747</v>
      </c>
    </row>
    <row r="29" ht="20.05" customHeight="1">
      <c r="A29" s="32"/>
      <c r="B29" s="13">
        <f>354.8-B28-B27</f>
        <v>120.8</v>
      </c>
      <c r="C29" s="14">
        <f>60.5-C28-C27</f>
        <v>12.5</v>
      </c>
      <c r="D29" s="14">
        <f>F29-C29-B29</f>
        <v>56.3</v>
      </c>
      <c r="E29" s="14">
        <f>-50.7-E28-E27</f>
        <v>-17.7</v>
      </c>
      <c r="F29" s="14">
        <f>484.6-F28-F27</f>
        <v>189.6</v>
      </c>
      <c r="G29" s="14">
        <f>-90.4-G28-G27</f>
        <v>-17.4</v>
      </c>
      <c r="H29" s="14">
        <f>1850-897</f>
        <v>953</v>
      </c>
      <c r="I29" s="14">
        <f>-228-H29</f>
        <v>-1181</v>
      </c>
      <c r="J29" s="14">
        <f>-228.2-J28-J27</f>
        <v>-127.2</v>
      </c>
      <c r="K29" s="14">
        <f>E29+F29</f>
        <v>171.9</v>
      </c>
      <c r="L29" s="14">
        <f>AVERAGE(K26:K29)</f>
        <v>154.725</v>
      </c>
      <c r="M29" s="14">
        <f>-J29+M28</f>
        <v>1874.2</v>
      </c>
    </row>
    <row r="30" ht="20.05" customHeight="1">
      <c r="A30" s="32"/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>
        <f>SUM('Model'!C9:F10)/4</f>
        <v>145.047063296246</v>
      </c>
      <c r="M30" s="14">
        <f>'Model'!F32</f>
        <v>2454.388253184980</v>
      </c>
    </row>
  </sheetData>
  <mergeCells count="1">
    <mergeCell ref="A1:M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2.0391" style="36" customWidth="1"/>
    <col min="2" max="2" width="9.75" style="36" customWidth="1"/>
    <col min="3" max="11" width="10.7422" style="36" customWidth="1"/>
    <col min="12" max="16384" width="16.3516" style="36" customWidth="1"/>
  </cols>
  <sheetData>
    <row r="1" ht="38.45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52</v>
      </c>
      <c r="D3" t="s" s="4">
        <v>53</v>
      </c>
      <c r="E3" t="s" s="4">
        <v>22</v>
      </c>
      <c r="F3" t="s" s="4">
        <v>23</v>
      </c>
      <c r="G3" t="s" s="4">
        <v>54</v>
      </c>
      <c r="H3" t="s" s="4">
        <v>12</v>
      </c>
      <c r="I3" t="s" s="4">
        <v>55</v>
      </c>
      <c r="J3" t="s" s="4">
        <v>27</v>
      </c>
      <c r="K3" t="s" s="4">
        <v>35</v>
      </c>
    </row>
    <row r="4" ht="20.25" customHeight="1">
      <c r="B4" s="28">
        <v>2015</v>
      </c>
      <c r="C4" s="29">
        <v>75</v>
      </c>
      <c r="D4" s="30">
        <v>637</v>
      </c>
      <c r="E4" s="30">
        <f>D4-C4</f>
        <v>562</v>
      </c>
      <c r="F4" s="30">
        <f>'Cashflow '!C3</f>
        <v>9</v>
      </c>
      <c r="G4" s="30">
        <v>1850</v>
      </c>
      <c r="H4" s="30">
        <v>-1214</v>
      </c>
      <c r="I4" s="30">
        <f>G4+H4-C4-E4</f>
        <v>-1</v>
      </c>
      <c r="J4" s="30">
        <f>C4-G4</f>
        <v>-1775</v>
      </c>
      <c r="K4" s="30"/>
    </row>
    <row r="5" ht="20.05" customHeight="1">
      <c r="B5" s="32"/>
      <c r="C5" s="13">
        <v>26</v>
      </c>
      <c r="D5" s="14">
        <v>598</v>
      </c>
      <c r="E5" s="14">
        <f>D5-C5</f>
        <v>572</v>
      </c>
      <c r="F5" s="14">
        <f>F4+'Cashflow '!C4</f>
        <v>15</v>
      </c>
      <c r="G5" s="14">
        <v>1843</v>
      </c>
      <c r="H5" s="14">
        <v>-1246</v>
      </c>
      <c r="I5" s="14">
        <f>G5+H5-C5-E5</f>
        <v>-1</v>
      </c>
      <c r="J5" s="14">
        <f>C5-G5</f>
        <v>-1817</v>
      </c>
      <c r="K5" s="14"/>
    </row>
    <row r="6" ht="20.05" customHeight="1">
      <c r="B6" s="32"/>
      <c r="C6" s="13">
        <v>33</v>
      </c>
      <c r="D6" s="14">
        <v>603</v>
      </c>
      <c r="E6" s="14">
        <f>D6-C6</f>
        <v>570</v>
      </c>
      <c r="F6" s="14">
        <f>F5+'Cashflow '!C5</f>
        <v>22</v>
      </c>
      <c r="G6" s="14">
        <v>1859</v>
      </c>
      <c r="H6" s="14">
        <v>-1256</v>
      </c>
      <c r="I6" s="14">
        <f>G6+H6-C6-E6</f>
        <v>0</v>
      </c>
      <c r="J6" s="14">
        <f>C6-G6</f>
        <v>-1826</v>
      </c>
      <c r="K6" s="14"/>
    </row>
    <row r="7" ht="20.05" customHeight="1">
      <c r="B7" s="32"/>
      <c r="C7" s="13">
        <v>133</v>
      </c>
      <c r="D7" s="14">
        <v>800</v>
      </c>
      <c r="E7" s="14">
        <f>D7-C7</f>
        <v>667</v>
      </c>
      <c r="F7" s="14">
        <f>F6+'Cashflow '!C6</f>
        <v>46</v>
      </c>
      <c r="G7" s="14">
        <v>2600</v>
      </c>
      <c r="H7" s="14">
        <v>-1800</v>
      </c>
      <c r="I7" s="14">
        <f>G7+H7-C7-E7</f>
        <v>0</v>
      </c>
      <c r="J7" s="14">
        <f>C7-G7</f>
        <v>-2467</v>
      </c>
      <c r="K7" s="14"/>
    </row>
    <row r="8" ht="20.05" customHeight="1">
      <c r="B8" s="34">
        <v>2016</v>
      </c>
      <c r="C8" s="13">
        <v>178</v>
      </c>
      <c r="D8" s="14">
        <v>821</v>
      </c>
      <c r="E8" s="14">
        <f>D8-C8</f>
        <v>643</v>
      </c>
      <c r="F8" s="14">
        <f>F7+'Cashflow '!C7</f>
        <v>33</v>
      </c>
      <c r="G8" s="14">
        <v>2551</v>
      </c>
      <c r="H8" s="14">
        <v>-1730</v>
      </c>
      <c r="I8" s="14">
        <f>G8+H8-C8-E8</f>
        <v>0</v>
      </c>
      <c r="J8" s="14">
        <f>C8-G8</f>
        <v>-2373</v>
      </c>
      <c r="K8" s="14"/>
    </row>
    <row r="9" ht="20.05" customHeight="1">
      <c r="B9" s="32"/>
      <c r="C9" s="13">
        <v>22</v>
      </c>
      <c r="D9" s="14">
        <v>652</v>
      </c>
      <c r="E9" s="14">
        <f>D9-C9</f>
        <v>630</v>
      </c>
      <c r="F9" s="14">
        <f>F8+'Cashflow '!C8</f>
        <v>42</v>
      </c>
      <c r="G9" s="14">
        <v>2567</v>
      </c>
      <c r="H9" s="14">
        <v>-1915</v>
      </c>
      <c r="I9" s="14">
        <f>G9+H9-C9-E9</f>
        <v>0</v>
      </c>
      <c r="J9" s="14">
        <f>C9-G9</f>
        <v>-2545</v>
      </c>
      <c r="K9" s="14"/>
    </row>
    <row r="10" ht="20.05" customHeight="1">
      <c r="B10" s="32"/>
      <c r="C10" s="13">
        <v>30</v>
      </c>
      <c r="D10" s="14">
        <v>677</v>
      </c>
      <c r="E10" s="14">
        <f>D10-C10</f>
        <v>647</v>
      </c>
      <c r="F10" s="14">
        <f>F9+'Cashflow '!C9</f>
        <v>91</v>
      </c>
      <c r="G10" s="14">
        <v>2613</v>
      </c>
      <c r="H10" s="14">
        <v>-1936</v>
      </c>
      <c r="I10" s="14">
        <f>G10+H10-C10-E10</f>
        <v>0</v>
      </c>
      <c r="J10" s="14">
        <f>C10-G10</f>
        <v>-2583</v>
      </c>
      <c r="K10" s="14"/>
    </row>
    <row r="11" ht="20.05" customHeight="1">
      <c r="B11" s="32"/>
      <c r="C11" s="13">
        <v>43</v>
      </c>
      <c r="D11" s="14">
        <v>716</v>
      </c>
      <c r="E11" s="14">
        <f>D11-C11</f>
        <v>673</v>
      </c>
      <c r="F11" s="14">
        <f>F10+'Cashflow '!C10</f>
        <v>59</v>
      </c>
      <c r="G11" s="14">
        <v>2600</v>
      </c>
      <c r="H11" s="14">
        <v>-1883</v>
      </c>
      <c r="I11" s="14">
        <f>G11+H11-C11-E11</f>
        <v>1</v>
      </c>
      <c r="J11" s="14">
        <f>C11-G11</f>
        <v>-2557</v>
      </c>
      <c r="K11" s="14"/>
    </row>
    <row r="12" ht="20.05" customHeight="1">
      <c r="B12" s="34">
        <v>2017</v>
      </c>
      <c r="C12" s="13">
        <v>52</v>
      </c>
      <c r="D12" s="14">
        <v>742</v>
      </c>
      <c r="E12" s="14">
        <f>D12-C12</f>
        <v>690</v>
      </c>
      <c r="F12" s="14">
        <f>F11+'Cashflow '!C11</f>
        <v>81</v>
      </c>
      <c r="G12" s="14">
        <v>2596</v>
      </c>
      <c r="H12" s="14">
        <v>-1854</v>
      </c>
      <c r="I12" s="14">
        <f>G12+H12-C12-E12</f>
        <v>0</v>
      </c>
      <c r="J12" s="14">
        <f>C12-G12</f>
        <v>-2544</v>
      </c>
      <c r="K12" s="14"/>
    </row>
    <row r="13" ht="20.05" customHeight="1">
      <c r="B13" s="32"/>
      <c r="C13" s="13">
        <v>52</v>
      </c>
      <c r="D13" s="14">
        <v>782</v>
      </c>
      <c r="E13" s="14">
        <f>D13-C13</f>
        <v>730</v>
      </c>
      <c r="F13" s="14">
        <f>F12+'Cashflow '!C12</f>
        <v>79</v>
      </c>
      <c r="G13" s="14">
        <v>2585</v>
      </c>
      <c r="H13" s="14">
        <v>-1803</v>
      </c>
      <c r="I13" s="14">
        <f>G13+H13-C13-E13</f>
        <v>0</v>
      </c>
      <c r="J13" s="14">
        <f>C13-G13</f>
        <v>-2533</v>
      </c>
      <c r="K13" s="14"/>
    </row>
    <row r="14" ht="20.05" customHeight="1">
      <c r="B14" s="32"/>
      <c r="C14" s="13">
        <v>61</v>
      </c>
      <c r="D14" s="14">
        <v>816</v>
      </c>
      <c r="E14" s="14">
        <f>D14-C14</f>
        <v>755</v>
      </c>
      <c r="F14" s="14">
        <f>F13+'Cashflow '!C13</f>
        <v>119</v>
      </c>
      <c r="G14" s="14">
        <v>3582</v>
      </c>
      <c r="H14" s="14">
        <v>-2765</v>
      </c>
      <c r="I14" s="14">
        <f>G14+H14-C14-E14</f>
        <v>1</v>
      </c>
      <c r="J14" s="14">
        <f>C14-G14</f>
        <v>-3521</v>
      </c>
      <c r="K14" s="14"/>
    </row>
    <row r="15" ht="20.05" customHeight="1">
      <c r="B15" s="32"/>
      <c r="C15" s="13">
        <v>36</v>
      </c>
      <c r="D15" s="14">
        <v>837</v>
      </c>
      <c r="E15" s="14">
        <f>D15-C15</f>
        <v>801</v>
      </c>
      <c r="F15" s="14">
        <f>F14+'Cashflow '!C14</f>
        <v>111</v>
      </c>
      <c r="G15" s="14">
        <v>3572</v>
      </c>
      <c r="H15" s="14">
        <v>-2735</v>
      </c>
      <c r="I15" s="14">
        <f>G15+H15-C15-E15</f>
        <v>0</v>
      </c>
      <c r="J15" s="14">
        <f>C15-G15</f>
        <v>-3536</v>
      </c>
      <c r="K15" s="14"/>
    </row>
    <row r="16" ht="20.05" customHeight="1">
      <c r="B16" s="34">
        <v>2018</v>
      </c>
      <c r="C16" s="13">
        <v>45</v>
      </c>
      <c r="D16" s="14">
        <v>798</v>
      </c>
      <c r="E16" s="14">
        <f>D16-C16</f>
        <v>753</v>
      </c>
      <c r="F16" s="14">
        <f>F15+'Cashflow '!C15</f>
        <v>122</v>
      </c>
      <c r="G16" s="14">
        <v>3569</v>
      </c>
      <c r="H16" s="14">
        <v>-2771</v>
      </c>
      <c r="I16" s="14">
        <f>G16+H16-C16-E16</f>
        <v>0</v>
      </c>
      <c r="J16" s="14">
        <f>C16-G16</f>
        <v>-3524</v>
      </c>
      <c r="K16" s="14"/>
    </row>
    <row r="17" ht="20.05" customHeight="1">
      <c r="B17" s="32"/>
      <c r="C17" s="13">
        <v>158</v>
      </c>
      <c r="D17" s="14">
        <v>955</v>
      </c>
      <c r="E17" s="14">
        <f>D17-C17</f>
        <v>797</v>
      </c>
      <c r="F17" s="14">
        <f>F16+'Cashflow '!C16</f>
        <v>138</v>
      </c>
      <c r="G17" s="14">
        <v>3883</v>
      </c>
      <c r="H17" s="14">
        <v>-2929</v>
      </c>
      <c r="I17" s="14">
        <f>G17+H17-C17-E17</f>
        <v>-1</v>
      </c>
      <c r="J17" s="14">
        <f>C17-G17</f>
        <v>-3725</v>
      </c>
      <c r="K17" s="14"/>
    </row>
    <row r="18" ht="20.05" customHeight="1">
      <c r="B18" s="32"/>
      <c r="C18" s="13">
        <v>85</v>
      </c>
      <c r="D18" s="14">
        <v>912</v>
      </c>
      <c r="E18" s="14">
        <f>D18-C18</f>
        <v>827</v>
      </c>
      <c r="F18" s="14">
        <f>F17+'Cashflow '!C17</f>
        <v>144</v>
      </c>
      <c r="G18" s="14">
        <v>3885</v>
      </c>
      <c r="H18" s="14">
        <v>-2974</v>
      </c>
      <c r="I18" s="14">
        <f>G18+H18-C18-E18</f>
        <v>-1</v>
      </c>
      <c r="J18" s="14">
        <f>C18-G18</f>
        <v>-3800</v>
      </c>
      <c r="K18" s="14"/>
    </row>
    <row r="19" ht="20.05" customHeight="1">
      <c r="B19" s="32"/>
      <c r="C19" s="13">
        <v>25</v>
      </c>
      <c r="D19" s="14">
        <v>907</v>
      </c>
      <c r="E19" s="14">
        <f>D19-C19</f>
        <v>882</v>
      </c>
      <c r="F19" s="14">
        <f>F18+'Cashflow '!C18</f>
        <v>167</v>
      </c>
      <c r="G19" s="14">
        <v>3948</v>
      </c>
      <c r="H19" s="14">
        <v>-3040</v>
      </c>
      <c r="I19" s="14">
        <f>G19+H19-C19-E19</f>
        <v>1</v>
      </c>
      <c r="J19" s="14">
        <f>C19-G19</f>
        <v>-3923</v>
      </c>
      <c r="K19" s="14"/>
    </row>
    <row r="20" ht="20.05" customHeight="1">
      <c r="B20" s="34">
        <v>2019</v>
      </c>
      <c r="C20" s="13">
        <v>83</v>
      </c>
      <c r="D20" s="14">
        <v>1148</v>
      </c>
      <c r="E20" s="14">
        <f>D20-C20</f>
        <v>1065</v>
      </c>
      <c r="F20" s="14">
        <f>F19+'Cashflow '!C19</f>
        <v>180</v>
      </c>
      <c r="G20" s="14">
        <v>4123</v>
      </c>
      <c r="H20" s="14">
        <v>-2975</v>
      </c>
      <c r="I20" s="14">
        <f>G20+H20-C20-E20</f>
        <v>0</v>
      </c>
      <c r="J20" s="14">
        <f>C20-G20</f>
        <v>-4040</v>
      </c>
      <c r="K20" s="14"/>
    </row>
    <row r="21" ht="20.05" customHeight="1">
      <c r="B21" s="32"/>
      <c r="C21" s="13">
        <v>108</v>
      </c>
      <c r="D21" s="14">
        <v>1177</v>
      </c>
      <c r="E21" s="14">
        <f>D21-C21</f>
        <v>1069</v>
      </c>
      <c r="F21" s="14">
        <f>F20+'Cashflow '!C20</f>
        <v>194</v>
      </c>
      <c r="G21" s="14">
        <v>4081</v>
      </c>
      <c r="H21" s="14">
        <v>-2904</v>
      </c>
      <c r="I21" s="14">
        <f>G21+H21-C21-E21</f>
        <v>0</v>
      </c>
      <c r="J21" s="14">
        <f>C21-G21</f>
        <v>-3973</v>
      </c>
      <c r="K21" s="14"/>
    </row>
    <row r="22" ht="20.05" customHeight="1">
      <c r="B22" s="32"/>
      <c r="C22" s="13">
        <v>67</v>
      </c>
      <c r="D22" s="14">
        <v>1160</v>
      </c>
      <c r="E22" s="14">
        <f>D22-C22</f>
        <v>1093</v>
      </c>
      <c r="F22" s="14">
        <f>F21+'Cashflow '!C21</f>
        <v>210</v>
      </c>
      <c r="G22" s="14">
        <v>4096</v>
      </c>
      <c r="H22" s="14">
        <v>-2936</v>
      </c>
      <c r="I22" s="14">
        <f>G22+H22-C22-E22</f>
        <v>0</v>
      </c>
      <c r="J22" s="14">
        <f>C22-G22</f>
        <v>-4029</v>
      </c>
      <c r="K22" s="14"/>
    </row>
    <row r="23" ht="20.05" customHeight="1">
      <c r="B23" s="32"/>
      <c r="C23" s="13">
        <v>191</v>
      </c>
      <c r="D23" s="14">
        <v>1382</v>
      </c>
      <c r="E23" s="14">
        <f>D23-C23</f>
        <v>1191</v>
      </c>
      <c r="F23" s="14">
        <f>F22+'Cashflow '!C22</f>
        <v>226</v>
      </c>
      <c r="G23" s="14">
        <v>4798</v>
      </c>
      <c r="H23" s="14">
        <v>-3416</v>
      </c>
      <c r="I23" s="14">
        <f>G23+H23-C23-E23</f>
        <v>0</v>
      </c>
      <c r="J23" s="14">
        <f>C23-G23</f>
        <v>-4607</v>
      </c>
      <c r="K23" s="14"/>
    </row>
    <row r="24" ht="20.05" customHeight="1">
      <c r="B24" s="34">
        <v>2020</v>
      </c>
      <c r="C24" s="13">
        <v>201</v>
      </c>
      <c r="D24" s="14">
        <v>1390</v>
      </c>
      <c r="E24" s="14">
        <f>D24-C24</f>
        <v>1189</v>
      </c>
      <c r="F24" s="14">
        <f>F23+'Cashflow '!C23</f>
        <v>219</v>
      </c>
      <c r="G24" s="14">
        <v>4782</v>
      </c>
      <c r="H24" s="14">
        <v>-3392</v>
      </c>
      <c r="I24" s="14">
        <f>G24+H24-C24-E24</f>
        <v>0</v>
      </c>
      <c r="J24" s="14">
        <f>C24-G24</f>
        <v>-4581</v>
      </c>
      <c r="K24" s="14"/>
    </row>
    <row r="25" ht="20.05" customHeight="1">
      <c r="B25" s="32"/>
      <c r="C25" s="13">
        <v>248</v>
      </c>
      <c r="D25" s="14">
        <v>1582</v>
      </c>
      <c r="E25" s="14">
        <f>D25-C25</f>
        <v>1334</v>
      </c>
      <c r="F25" s="14">
        <f>F24+'Cashflow '!C24</f>
        <v>220</v>
      </c>
      <c r="G25" s="14">
        <v>4865</v>
      </c>
      <c r="H25" s="14">
        <v>-3283</v>
      </c>
      <c r="I25" s="14">
        <f>G25+H25-C25-E25</f>
        <v>0</v>
      </c>
      <c r="J25" s="14">
        <f>C25-G25</f>
        <v>-4617</v>
      </c>
      <c r="K25" s="14"/>
    </row>
    <row r="26" ht="20.05" customHeight="1">
      <c r="B26" s="32"/>
      <c r="C26" s="13">
        <v>338</v>
      </c>
      <c r="D26" s="14">
        <v>1621</v>
      </c>
      <c r="E26" s="14">
        <f>D26-C26</f>
        <v>1283</v>
      </c>
      <c r="F26" s="14">
        <f>F25+'Cashflow '!C25</f>
        <v>241</v>
      </c>
      <c r="G26" s="14">
        <v>4833</v>
      </c>
      <c r="H26" s="14">
        <v>-3212</v>
      </c>
      <c r="I26" s="14">
        <f>G26+H26-C26-E26</f>
        <v>0</v>
      </c>
      <c r="J26" s="14">
        <f>C26-G26</f>
        <v>-4495</v>
      </c>
      <c r="K26" s="14"/>
    </row>
    <row r="27" ht="20.05" customHeight="1">
      <c r="B27" s="32"/>
      <c r="C27" s="13">
        <v>169</v>
      </c>
      <c r="D27" s="14">
        <v>1567</v>
      </c>
      <c r="E27" s="14">
        <f>D27-C27</f>
        <v>1398</v>
      </c>
      <c r="F27" s="14">
        <f>F26+'Cashflow '!C26</f>
        <v>280</v>
      </c>
      <c r="G27" s="14">
        <f>4397+471</f>
        <v>4868</v>
      </c>
      <c r="H27" s="14">
        <v>-3300</v>
      </c>
      <c r="I27" s="14">
        <f>G27+H27-C27-E27</f>
        <v>1</v>
      </c>
      <c r="J27" s="14">
        <f>C27-G27</f>
        <v>-4699</v>
      </c>
      <c r="K27" s="19"/>
    </row>
    <row r="28" ht="20.05" customHeight="1">
      <c r="B28" s="34">
        <v>2021</v>
      </c>
      <c r="C28" s="13">
        <v>268</v>
      </c>
      <c r="D28" s="14">
        <v>1663</v>
      </c>
      <c r="E28" s="14">
        <f>D28-C28</f>
        <v>1395</v>
      </c>
      <c r="F28" s="14">
        <f>F27+'Cashflow '!C27</f>
        <v>301</v>
      </c>
      <c r="G28" s="14">
        <f>502+4397</f>
        <v>4899</v>
      </c>
      <c r="H28" s="14">
        <v>-3236</v>
      </c>
      <c r="I28" s="14">
        <f>G28+H28-C28-E28</f>
        <v>0</v>
      </c>
      <c r="J28" s="14">
        <f>C28-G28</f>
        <v>-4631</v>
      </c>
      <c r="K28" s="14"/>
    </row>
    <row r="29" ht="20.05" customHeight="1">
      <c r="B29" s="32"/>
      <c r="C29" s="13">
        <v>292</v>
      </c>
      <c r="D29" s="14">
        <v>1722</v>
      </c>
      <c r="E29" s="14">
        <f>D29-C29</f>
        <v>1430</v>
      </c>
      <c r="F29" s="14">
        <f>F28+'Cashflow '!C28</f>
        <v>328</v>
      </c>
      <c r="G29" s="14">
        <f>554+5308</f>
        <v>5862</v>
      </c>
      <c r="H29" s="14">
        <v>-4141</v>
      </c>
      <c r="I29" s="14">
        <f>G29+H29-C29-E29</f>
        <v>-1</v>
      </c>
      <c r="J29" s="14">
        <f>C29-G29</f>
        <v>-5570</v>
      </c>
      <c r="K29" s="14"/>
    </row>
    <row r="30" ht="20.05" customHeight="1">
      <c r="B30" s="32"/>
      <c r="C30" s="13">
        <v>295.4</v>
      </c>
      <c r="D30" s="14">
        <v>1764.4</v>
      </c>
      <c r="E30" s="14">
        <f>D30-C30</f>
        <v>1469</v>
      </c>
      <c r="F30" s="14">
        <f>F29+'Cashflow '!C29</f>
        <v>340.5</v>
      </c>
      <c r="G30" s="14">
        <v>5891.9</v>
      </c>
      <c r="H30" s="14">
        <v>-4127.5</v>
      </c>
      <c r="I30" s="14">
        <f>G30+H30-C30-E30</f>
        <v>0</v>
      </c>
      <c r="J30" s="14">
        <f>C30-G30</f>
        <v>-5596.5</v>
      </c>
      <c r="K30" s="14">
        <f>J30</f>
        <v>-5596.5</v>
      </c>
    </row>
    <row r="31" ht="20.05" customHeight="1">
      <c r="B31" s="32"/>
      <c r="C31" s="13"/>
      <c r="D31" s="14"/>
      <c r="E31" s="14"/>
      <c r="F31" s="14"/>
      <c r="G31" s="14"/>
      <c r="H31" s="14"/>
      <c r="I31" s="14"/>
      <c r="J31" s="14"/>
      <c r="K31" s="14">
        <f>'Model'!F30</f>
        <v>-5316.805873407510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3:C20"/>
  <sheetViews>
    <sheetView workbookViewId="0" showGridLines="0" defaultGridColor="1">
      <pane topLeftCell="B4" xSplit="1" ySplit="3" activePane="bottomRight" state="frozen"/>
    </sheetView>
  </sheetViews>
  <sheetFormatPr defaultColWidth="16.3333" defaultRowHeight="19.9" customHeight="1" outlineLevelRow="0" outlineLevelCol="0"/>
  <cols>
    <col min="1" max="1" width="7.1875" style="37" customWidth="1"/>
    <col min="2" max="3" width="10.7734" style="37" customWidth="1"/>
    <col min="4" max="16384" width="16.3516" style="37" customWidth="1"/>
  </cols>
  <sheetData>
    <row r="1" ht="24.9" customHeight="1"/>
    <row r="2" ht="27.65" customHeight="1">
      <c r="A2" t="s" s="2">
        <v>56</v>
      </c>
      <c r="B2" s="2"/>
      <c r="C2" s="2"/>
    </row>
    <row r="3" ht="20.25" customHeight="1">
      <c r="A3" s="5"/>
      <c r="B3" t="s" s="38">
        <v>57</v>
      </c>
      <c r="C3" t="s" s="38">
        <v>58</v>
      </c>
    </row>
    <row r="4" ht="20.25" customHeight="1">
      <c r="A4" s="28">
        <v>2018</v>
      </c>
      <c r="B4" s="39">
        <v>228.408691</v>
      </c>
      <c r="C4" s="30"/>
    </row>
    <row r="5" ht="20.05" customHeight="1">
      <c r="A5" s="32"/>
      <c r="B5" s="21">
        <v>276.502502</v>
      </c>
      <c r="C5" s="14"/>
    </row>
    <row r="6" ht="20.05" customHeight="1">
      <c r="A6" s="32"/>
      <c r="B6" s="21">
        <v>289.436859</v>
      </c>
      <c r="C6" s="14"/>
    </row>
    <row r="7" ht="20.05" customHeight="1">
      <c r="A7" s="32"/>
      <c r="B7" s="21">
        <v>244.015991</v>
      </c>
      <c r="C7" s="14"/>
    </row>
    <row r="8" ht="20.05" customHeight="1">
      <c r="A8" s="34">
        <v>2019</v>
      </c>
      <c r="B8" s="21">
        <v>254.638535</v>
      </c>
      <c r="C8" s="14"/>
    </row>
    <row r="9" ht="20.05" customHeight="1">
      <c r="A9" s="32"/>
      <c r="B9" s="21">
        <v>275.182159</v>
      </c>
      <c r="C9" s="14"/>
    </row>
    <row r="10" ht="20.05" customHeight="1">
      <c r="A10" s="32"/>
      <c r="B10" s="21">
        <v>242.5</v>
      </c>
      <c r="C10" s="14"/>
    </row>
    <row r="11" ht="20.05" customHeight="1">
      <c r="A11" s="32"/>
      <c r="B11" s="21">
        <v>291.915894</v>
      </c>
      <c r="C11" s="14"/>
    </row>
    <row r="12" ht="20.05" customHeight="1">
      <c r="A12" s="34">
        <v>2020</v>
      </c>
      <c r="B12" s="21">
        <v>322.770508</v>
      </c>
      <c r="C12" s="14"/>
    </row>
    <row r="13" ht="20.05" customHeight="1">
      <c r="A13" s="32"/>
      <c r="B13" s="21">
        <v>368.709869</v>
      </c>
      <c r="C13" s="14"/>
    </row>
    <row r="14" ht="20.05" customHeight="1">
      <c r="A14" s="32"/>
      <c r="B14" s="13">
        <v>423.301514</v>
      </c>
      <c r="C14" s="14">
        <v>561.612642722892</v>
      </c>
    </row>
    <row r="15" ht="20.05" customHeight="1">
      <c r="A15" s="32"/>
      <c r="B15" s="13">
        <v>382.454193</v>
      </c>
      <c r="C15" s="22">
        <v>598.967612078313</v>
      </c>
    </row>
    <row r="16" ht="20.05" customHeight="1">
      <c r="A16" s="34">
        <v>2021</v>
      </c>
      <c r="B16" s="21">
        <v>367.026764</v>
      </c>
      <c r="C16" s="22">
        <v>491.667290808589</v>
      </c>
    </row>
    <row r="17" ht="20.05" customHeight="1">
      <c r="A17" s="32"/>
      <c r="B17" s="21">
        <v>466.48999</v>
      </c>
      <c r="C17" s="22">
        <v>553.407683987165</v>
      </c>
    </row>
    <row r="18" ht="20.05" customHeight="1">
      <c r="A18" s="32"/>
      <c r="B18" s="21">
        <v>475.07</v>
      </c>
      <c r="C18" s="22"/>
    </row>
    <row r="19" ht="20.05" customHeight="1">
      <c r="A19" s="32"/>
      <c r="B19" s="21">
        <v>529.9</v>
      </c>
      <c r="C19" s="22">
        <f>B19</f>
        <v>529.9</v>
      </c>
    </row>
    <row r="20" ht="20.05" customHeight="1">
      <c r="A20" s="32"/>
      <c r="B20" s="21"/>
      <c r="C20" s="22">
        <f>'Model'!F42</f>
        <v>558.404848868463</v>
      </c>
    </row>
  </sheetData>
  <mergeCells count="1">
    <mergeCell ref="A2:C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