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<sst xmlns="http://schemas.openxmlformats.org/spreadsheetml/2006/main" uniqueCount="58">
  <si>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</si>
  <si>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</si>
  <si>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2021</t>
  </si>
  <si>
    <t xml:space="preserve">Cashflow </t>
  </si>
  <si>
    <t xml:space="preserve">Growth </t>
  </si>
  <si>
    <t xml:space="preserve">Sales 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</si>
  <si>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</si>
  <si>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</si>
  <si>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</si>
  <si>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</si>
  <si>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Free cashflow </t>
  </si>
  <si>
    <t xml:space="preserve">Finance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</si>
  <si>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</si>
  <si>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</si>
  <si>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</si>
  <si>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</si>
  <si>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</si>
  <si>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</si>
  <si>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</si>
  <si>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</si>
  <si>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</si>
  <si>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Balance sheet </t>
  </si>
  <si>
    <t xml:space="preserve">Other assets 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</si>
  <si>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</si>
  <si>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</si>
  <si>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</si>
  <si>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</si>
  <si>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</si>
  <si>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</si>
  <si>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</si>
  <si>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</si>
  <si>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</si>
  <si>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</si>
  <si>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</si>
  <si>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</si>
  <si>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 xml:space="preserve">Shares </t>
  </si>
  <si>
    <t xml:space="preserve">Target price </t>
  </si>
  <si>
    <t xml:space="preserve">Current </t>
  </si>
  <si>
    <t xml:space="preserve">V target </t>
  </si>
  <si>
    <t xml:space="preserve">12 month growth </t>
  </si>
  <si>
    <t xml:space="preserve">Sales v forecast </t>
  </si>
  <si>
    <t>Sales</t>
  </si>
  <si>
    <t xml:space="preserve">Gain on investments </t>
  </si>
  <si>
    <t>Profit</t>
  </si>
  <si>
    <t>Cashflow costs</t>
  </si>
  <si>
    <t>Cashflow</t>
  </si>
  <si>
    <t>Receipts</t>
  </si>
  <si>
    <t>Capex</t>
  </si>
  <si>
    <t>Finance</t>
  </si>
  <si>
    <t>Free cashflow</t>
  </si>
  <si>
    <t>Cashfliw</t>
  </si>
  <si>
    <t>Balance sheet</t>
  </si>
  <si>
    <t xml:space="preserve">Cash </t>
  </si>
  <si>
    <t xml:space="preserve">Assets </t>
  </si>
  <si>
    <t xml:space="preserve">Net cash </t>
  </si>
  <si>
    <t>Share price</t>
  </si>
  <si>
    <t>DMMX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</si>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</sst>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564065</xdr:colOff>
      <xdr:row>1</xdr:row>
      <xdr:rowOff>17367</xdr:rowOff>
    </xdr:from>
    <xdr:to>
      <xdr:col>12</xdr:col>
      <xdr:colOff>744893</xdr:colOff>
      <xdr:row>46</xdr:row>
      <xdr:rowOff>221364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183565" y="368522"/>
          <a:ext cx="8893029" cy="116676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8.187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AVERAGE('Sales'!H15:H18)</f>
        <v>0.333196231918004</v>
      </c>
      <c r="C3" s="7"/>
      <c r="D3" s="7"/>
      <c r="E3" s="8">
        <f>AVERAGE(B4:E4)</f>
        <v>0.08</v>
      </c>
    </row>
    <row r="4" ht="20.05" customHeight="1">
      <c r="A4" t="s" s="9">
        <v>4</v>
      </c>
      <c r="B4" s="10">
        <v>0.16</v>
      </c>
      <c r="C4" s="11">
        <v>-0.01</v>
      </c>
      <c r="D4" s="12">
        <v>0.1</v>
      </c>
      <c r="E4" s="11">
        <v>0.07000000000000001</v>
      </c>
    </row>
    <row r="5" ht="20.05" customHeight="1">
      <c r="A5" t="s" s="9">
        <v>5</v>
      </c>
      <c r="B5" s="13">
        <f>'Sales'!C18*(1+B4)</f>
        <v>408.552</v>
      </c>
      <c r="C5" s="14">
        <f>B5*(1+C4)</f>
        <v>404.46648</v>
      </c>
      <c r="D5" s="14">
        <f>C5*(1+D4)</f>
        <v>444.913128</v>
      </c>
      <c r="E5" s="14">
        <f>D5*(1+E4)</f>
        <v>476.05704696</v>
      </c>
    </row>
    <row r="6" ht="20.05" customHeight="1">
      <c r="A6" t="s" s="9">
        <v>6</v>
      </c>
      <c r="B6" s="10">
        <f>AVERAGE('Sales'!I15:I18)</f>
        <v>-0.952664487589999</v>
      </c>
      <c r="C6" s="11">
        <f>B6</f>
        <v>-0.952664487589999</v>
      </c>
      <c r="D6" s="11">
        <f>C6</f>
        <v>-0.952664487589999</v>
      </c>
      <c r="E6" s="11">
        <f>D6</f>
        <v>-0.952664487589999</v>
      </c>
    </row>
    <row r="7" ht="20.05" customHeight="1">
      <c r="A7" t="s" s="9">
        <v>7</v>
      </c>
      <c r="B7" s="15">
        <f>B5*B6</f>
        <v>-389.212981733869</v>
      </c>
      <c r="C7" s="16">
        <f>C5*C6</f>
        <v>-385.320851916531</v>
      </c>
      <c r="D7" s="16">
        <f>D5*D6</f>
        <v>-423.852937108184</v>
      </c>
      <c r="E7" s="16">
        <f>E5*E6</f>
        <v>-453.522642705756</v>
      </c>
    </row>
    <row r="8" ht="20.05" customHeight="1">
      <c r="A8" t="s" s="9">
        <v>8</v>
      </c>
      <c r="B8" s="15">
        <f>B5+B7</f>
        <v>19.339018266131</v>
      </c>
      <c r="C8" s="16">
        <f>C5+C7</f>
        <v>19.145628083469</v>
      </c>
      <c r="D8" s="16">
        <f>D5+D7</f>
        <v>21.060190891816</v>
      </c>
      <c r="E8" s="16">
        <f>E5+E7</f>
        <v>22.534404254244</v>
      </c>
    </row>
    <row r="9" ht="20.05" customHeight="1">
      <c r="A9" t="s" s="9">
        <v>9</v>
      </c>
      <c r="B9" s="15">
        <f>'Cashflow '!C13</f>
        <v>-2.8</v>
      </c>
      <c r="C9" s="16">
        <f>B9</f>
        <v>-2.8</v>
      </c>
      <c r="D9" s="16">
        <f>C9</f>
        <v>-2.8</v>
      </c>
      <c r="E9" s="16">
        <f>D9</f>
        <v>-2.8</v>
      </c>
    </row>
    <row r="10" ht="20.05" customHeight="1">
      <c r="A10" t="s" s="9">
        <v>10</v>
      </c>
      <c r="B10" s="15">
        <f>B8+B9</f>
        <v>16.539018266131</v>
      </c>
      <c r="C10" s="16">
        <f>C8+C9</f>
        <v>16.345628083469</v>
      </c>
      <c r="D10" s="16">
        <f>D8+D9</f>
        <v>18.260190891816</v>
      </c>
      <c r="E10" s="16">
        <f>E8+E9</f>
        <v>19.734404254244</v>
      </c>
    </row>
    <row r="11" ht="20.05" customHeight="1">
      <c r="A11" t="s" s="9">
        <v>11</v>
      </c>
      <c r="B11" s="15">
        <f>B12+B13+B15</f>
        <v>-10.1917054798393</v>
      </c>
      <c r="C11" s="16">
        <f>C12+C13+C15</f>
        <v>-9.8436884250407</v>
      </c>
      <c r="D11" s="16">
        <f>D12+D13+D15</f>
        <v>-10.1425572675448</v>
      </c>
      <c r="E11" s="16">
        <f>E12+E13+E15</f>
        <v>-10.3230962762732</v>
      </c>
    </row>
    <row r="12" ht="20.05" customHeight="1">
      <c r="A12" t="s" s="9">
        <v>12</v>
      </c>
      <c r="B12" s="15">
        <f>-'Balance sheet '!F9/20</f>
        <v>-5.8</v>
      </c>
      <c r="C12" s="16">
        <f>-B26/20</f>
        <v>-5.51</v>
      </c>
      <c r="D12" s="16">
        <f>-C26/20</f>
        <v>-5.2345</v>
      </c>
      <c r="E12" s="16">
        <f>-D26/20</f>
        <v>-4.972775</v>
      </c>
    </row>
    <row r="13" ht="20.05" customHeight="1">
      <c r="A13" t="s" s="9">
        <v>13</v>
      </c>
      <c r="B13" s="15">
        <f>IF(B21&gt;0,-B21*0.3,0)</f>
        <v>-4.3917054798393</v>
      </c>
      <c r="C13" s="16">
        <f>IF(C21&gt;0,-C21*0.3,0)</f>
        <v>-4.3336884250407</v>
      </c>
      <c r="D13" s="16">
        <f>IF(D21&gt;0,-D21*0.3,0)</f>
        <v>-4.9080572675448</v>
      </c>
      <c r="E13" s="16">
        <f>IF(E21&gt;0,-E21*0.3,0)</f>
        <v>-5.3503212762732</v>
      </c>
    </row>
    <row r="14" ht="20.05" customHeight="1">
      <c r="A14" t="s" s="9">
        <v>14</v>
      </c>
      <c r="B14" s="15">
        <f>B8+B9+B12+B13</f>
        <v>6.3473127862917</v>
      </c>
      <c r="C14" s="16">
        <f>C8+C9+C12+C13</f>
        <v>6.5019396584283</v>
      </c>
      <c r="D14" s="16">
        <f>D8+D9+D12+D13</f>
        <v>8.1176336242712</v>
      </c>
      <c r="E14" s="16">
        <f>E8+E9+E12+E13</f>
        <v>9.4113079779708</v>
      </c>
    </row>
    <row r="15" ht="20.05" customHeight="1">
      <c r="A15" t="s" s="9">
        <v>15</v>
      </c>
      <c r="B15" s="15">
        <f>MIN(0,B14)</f>
        <v>0</v>
      </c>
      <c r="C15" s="16">
        <f>MIN(B27,C14)</f>
        <v>0</v>
      </c>
      <c r="D15" s="16">
        <f>MIN(C27,D14)</f>
        <v>0</v>
      </c>
      <c r="E15" s="16">
        <f>MIN(D27,E14)</f>
        <v>0</v>
      </c>
    </row>
    <row r="16" ht="20.05" customHeight="1">
      <c r="A16" t="s" s="9">
        <v>16</v>
      </c>
      <c r="B16" s="15">
        <f>'Balance sheet '!B9</f>
        <v>197</v>
      </c>
      <c r="C16" s="16">
        <f>B18</f>
        <v>203.347312786292</v>
      </c>
      <c r="D16" s="16">
        <f>C18</f>
        <v>209.849252444720</v>
      </c>
      <c r="E16" s="16">
        <f>D18</f>
        <v>217.966886068991</v>
      </c>
    </row>
    <row r="17" ht="20.05" customHeight="1">
      <c r="A17" t="s" s="9">
        <v>17</v>
      </c>
      <c r="B17" s="15">
        <f>B8+B9+B11</f>
        <v>6.3473127862917</v>
      </c>
      <c r="C17" s="16">
        <f>C8+C9+C11</f>
        <v>6.5019396584283</v>
      </c>
      <c r="D17" s="16">
        <f>D8+D9+D11</f>
        <v>8.1176336242712</v>
      </c>
      <c r="E17" s="16">
        <f>E8+E9+E11</f>
        <v>9.4113079779708</v>
      </c>
    </row>
    <row r="18" ht="20.05" customHeight="1">
      <c r="A18" t="s" s="9">
        <v>18</v>
      </c>
      <c r="B18" s="15">
        <f>B17+B16</f>
        <v>203.347312786292</v>
      </c>
      <c r="C18" s="16">
        <f>C17+C16</f>
        <v>209.849252444720</v>
      </c>
      <c r="D18" s="16">
        <f>D17+D16</f>
        <v>217.966886068991</v>
      </c>
      <c r="E18" s="16">
        <f>E17+E16</f>
        <v>227.378194046962</v>
      </c>
    </row>
    <row r="19" ht="20.05" customHeight="1">
      <c r="A19" t="s" s="17">
        <v>19</v>
      </c>
      <c r="B19" s="15"/>
      <c r="C19" s="16"/>
      <c r="D19" s="16"/>
      <c r="E19" s="18"/>
    </row>
    <row r="20" ht="20.05" customHeight="1">
      <c r="A20" t="s" s="9">
        <v>20</v>
      </c>
      <c r="B20" s="15">
        <f>-'Sales'!E18</f>
        <v>-4.7</v>
      </c>
      <c r="C20" s="16">
        <f>B20</f>
        <v>-4.7</v>
      </c>
      <c r="D20" s="16">
        <f>C20</f>
        <v>-4.7</v>
      </c>
      <c r="E20" s="16">
        <f>D20</f>
        <v>-4.7</v>
      </c>
    </row>
    <row r="21" ht="20.05" customHeight="1">
      <c r="A21" t="s" s="9">
        <v>19</v>
      </c>
      <c r="B21" s="15">
        <f>B5+B7+B20</f>
        <v>14.639018266131</v>
      </c>
      <c r="C21" s="16">
        <f>C5+C7+C20</f>
        <v>14.445628083469</v>
      </c>
      <c r="D21" s="16">
        <f>D5+D7+D20</f>
        <v>16.360190891816</v>
      </c>
      <c r="E21" s="16">
        <f>E5+E7+E20</f>
        <v>17.834404254244</v>
      </c>
    </row>
    <row r="22" ht="20.05" customHeight="1">
      <c r="A22" t="s" s="17">
        <v>21</v>
      </c>
      <c r="B22" s="15"/>
      <c r="C22" s="16"/>
      <c r="D22" s="16"/>
      <c r="E22" s="16"/>
    </row>
    <row r="23" ht="20.05" customHeight="1">
      <c r="A23" t="s" s="9">
        <v>22</v>
      </c>
      <c r="B23" s="15">
        <f>'Balance sheet '!D9+'Balance sheet '!E9-B9</f>
        <v>864.8</v>
      </c>
      <c r="C23" s="16">
        <f>B23-C9</f>
        <v>867.6</v>
      </c>
      <c r="D23" s="16">
        <f>C23-D9</f>
        <v>870.4</v>
      </c>
      <c r="E23" s="16">
        <f>D23-E9</f>
        <v>873.2</v>
      </c>
    </row>
    <row r="24" ht="20.05" customHeight="1">
      <c r="A24" t="s" s="9">
        <v>23</v>
      </c>
      <c r="B24" s="15">
        <f>'Balance sheet '!E9-B20</f>
        <v>22.7</v>
      </c>
      <c r="C24" s="16">
        <f>B24-C20</f>
        <v>27.4</v>
      </c>
      <c r="D24" s="16">
        <f>C24-D20</f>
        <v>32.1</v>
      </c>
      <c r="E24" s="16">
        <f>D24-E20</f>
        <v>36.8</v>
      </c>
    </row>
    <row r="25" ht="20.05" customHeight="1">
      <c r="A25" t="s" s="9">
        <v>24</v>
      </c>
      <c r="B25" s="15">
        <f>B23-B24</f>
        <v>842.1</v>
      </c>
      <c r="C25" s="16">
        <f>C23-C24</f>
        <v>840.2</v>
      </c>
      <c r="D25" s="16">
        <f>D23-D24</f>
        <v>838.3</v>
      </c>
      <c r="E25" s="16">
        <f>E23-E24</f>
        <v>836.4</v>
      </c>
    </row>
    <row r="26" ht="20.05" customHeight="1">
      <c r="A26" t="s" s="9">
        <v>12</v>
      </c>
      <c r="B26" s="15">
        <f>'Balance sheet '!F9+B12</f>
        <v>110.2</v>
      </c>
      <c r="C26" s="16">
        <f>B26+C12</f>
        <v>104.69</v>
      </c>
      <c r="D26" s="16">
        <f>C26+D12</f>
        <v>99.4555</v>
      </c>
      <c r="E26" s="16">
        <f>D26+E12</f>
        <v>94.482725</v>
      </c>
    </row>
    <row r="27" ht="20.05" customHeight="1">
      <c r="A27" t="s" s="9">
        <v>15</v>
      </c>
      <c r="B27" s="15">
        <f>B15</f>
        <v>0</v>
      </c>
      <c r="C27" s="16">
        <f>B27+C15</f>
        <v>0</v>
      </c>
      <c r="D27" s="16">
        <f>C27+D15</f>
        <v>0</v>
      </c>
      <c r="E27" s="16">
        <f>D27+E15</f>
        <v>0</v>
      </c>
    </row>
    <row r="28" ht="20.05" customHeight="1">
      <c r="A28" t="s" s="9">
        <v>13</v>
      </c>
      <c r="B28" s="15">
        <f>'Balance sheet '!G9+B21+B13</f>
        <v>935.247312786292</v>
      </c>
      <c r="C28" s="16">
        <f>B28+C21+C13</f>
        <v>945.359252444720</v>
      </c>
      <c r="D28" s="16">
        <f>C28+D21+D13</f>
        <v>956.8113860689911</v>
      </c>
      <c r="E28" s="16">
        <f>D28+E21+E13</f>
        <v>969.295469046962</v>
      </c>
    </row>
    <row r="29" ht="20.05" customHeight="1">
      <c r="A29" t="s" s="9">
        <v>25</v>
      </c>
      <c r="B29" s="15">
        <f>B26+B27+B28-B18-B25</f>
        <v>0</v>
      </c>
      <c r="C29" s="16">
        <f>C26+C27+C28-C18-C25</f>
        <v>0</v>
      </c>
      <c r="D29" s="16">
        <f>D26+D27+D28-D18-D25</f>
        <v>0</v>
      </c>
      <c r="E29" s="16">
        <f>E26+E27+E28-E18-E25</f>
        <v>0</v>
      </c>
    </row>
    <row r="30" ht="20.05" customHeight="1">
      <c r="A30" t="s" s="9">
        <v>26</v>
      </c>
      <c r="B30" s="15">
        <f>B18-B26-B27</f>
        <v>93.14731278629201</v>
      </c>
      <c r="C30" s="16">
        <f>C18-C26-C27</f>
        <v>105.159252444720</v>
      </c>
      <c r="D30" s="16">
        <f>D18-D26-D27</f>
        <v>118.511386068991</v>
      </c>
      <c r="E30" s="16">
        <f>E18-E26-E27</f>
        <v>132.895469046962</v>
      </c>
    </row>
    <row r="31" ht="20.05" customHeight="1">
      <c r="A31" t="s" s="17">
        <v>27</v>
      </c>
      <c r="B31" s="15"/>
      <c r="C31" s="16"/>
      <c r="D31" s="16"/>
      <c r="E31" s="16"/>
    </row>
    <row r="32" ht="20.05" customHeight="1">
      <c r="A32" t="s" s="9">
        <v>28</v>
      </c>
      <c r="B32" s="15">
        <f>'Cashflow '!I13-B11</f>
        <v>-635.528294520161</v>
      </c>
      <c r="C32" s="16">
        <f>B32-C11</f>
        <v>-625.684606095120</v>
      </c>
      <c r="D32" s="16">
        <f>C32-D11</f>
        <v>-615.5420488275749</v>
      </c>
      <c r="E32" s="16">
        <f>D32-E11</f>
        <v>-605.218952551302</v>
      </c>
    </row>
    <row r="33" ht="20.05" customHeight="1">
      <c r="A33" t="s" s="9">
        <v>29</v>
      </c>
      <c r="B33" s="15"/>
      <c r="C33" s="16"/>
      <c r="D33" s="16"/>
      <c r="E33" s="16">
        <v>19090</v>
      </c>
    </row>
    <row r="34" ht="20.05" customHeight="1">
      <c r="A34" t="s" s="9">
        <v>30</v>
      </c>
      <c r="B34" s="15"/>
      <c r="C34" s="16"/>
      <c r="D34" s="16"/>
      <c r="E34" s="16">
        <f>E33/(E18+E25)</f>
        <v>17.9454703121666</v>
      </c>
    </row>
    <row r="35" ht="20.05" customHeight="1">
      <c r="A35" t="s" s="9">
        <v>31</v>
      </c>
      <c r="B35" s="15"/>
      <c r="C35" s="16"/>
      <c r="D35" s="16"/>
      <c r="E35" s="19">
        <f>-(B13+C13+D13+E13)/E33</f>
        <v>0.000994435434714405</v>
      </c>
    </row>
    <row r="36" ht="20.05" customHeight="1">
      <c r="A36" t="s" s="9">
        <v>3</v>
      </c>
      <c r="B36" s="15"/>
      <c r="C36" s="16"/>
      <c r="D36" s="16"/>
      <c r="E36" s="16">
        <f>SUM(B8:E9)*2</f>
        <v>141.758482991320</v>
      </c>
    </row>
    <row r="37" ht="20.05" customHeight="1">
      <c r="A37" t="s" s="9">
        <v>32</v>
      </c>
      <c r="B37" s="15"/>
      <c r="C37" s="16"/>
      <c r="D37" s="16"/>
      <c r="E37" s="16">
        <f>'Balance sheet '!D9/E36</f>
        <v>5.95378831792154</v>
      </c>
    </row>
    <row r="38" ht="20.05" customHeight="1">
      <c r="A38" t="s" s="9">
        <v>27</v>
      </c>
      <c r="B38" s="15"/>
      <c r="C38" s="16"/>
      <c r="D38" s="16"/>
      <c r="E38" s="16">
        <f>E33/E36</f>
        <v>134.665662309386</v>
      </c>
    </row>
    <row r="39" ht="20.05" customHeight="1">
      <c r="A39" t="s" s="20">
        <v>33</v>
      </c>
      <c r="B39" s="15"/>
      <c r="C39" s="16"/>
      <c r="D39" s="16"/>
      <c r="E39" s="16">
        <v>75</v>
      </c>
    </row>
    <row r="40" ht="20.05" customHeight="1">
      <c r="A40" t="s" s="9">
        <v>34</v>
      </c>
      <c r="B40" s="15"/>
      <c r="C40" s="16"/>
      <c r="D40" s="16"/>
      <c r="E40" s="16">
        <f>E36*E39</f>
        <v>10631.886224349</v>
      </c>
    </row>
    <row r="41" ht="20.05" customHeight="1">
      <c r="A41" t="s" s="9">
        <v>35</v>
      </c>
      <c r="B41" s="15"/>
      <c r="C41" s="16"/>
      <c r="D41" s="16"/>
      <c r="E41" s="16">
        <f>E33/E43</f>
        <v>5.94704049844237</v>
      </c>
    </row>
    <row r="42" ht="20.05" customHeight="1">
      <c r="A42" t="s" s="9">
        <v>36</v>
      </c>
      <c r="B42" s="15"/>
      <c r="C42" s="16"/>
      <c r="D42" s="16"/>
      <c r="E42" s="16">
        <f>E40/E41</f>
        <v>1787.760858049250</v>
      </c>
    </row>
    <row r="43" ht="20.05" customHeight="1">
      <c r="A43" t="s" s="9">
        <v>37</v>
      </c>
      <c r="B43" s="15"/>
      <c r="C43" s="16"/>
      <c r="D43" s="16"/>
      <c r="E43" s="16">
        <f>'Share price '!B24</f>
        <v>3210</v>
      </c>
    </row>
    <row r="44" ht="20.05" customHeight="1">
      <c r="A44" t="s" s="9">
        <v>38</v>
      </c>
      <c r="B44" s="15"/>
      <c r="C44" s="16"/>
      <c r="D44" s="16"/>
      <c r="E44" s="19">
        <f>E42/E43-1</f>
        <v>-0.443065153255685</v>
      </c>
    </row>
    <row r="45" ht="20.05" customHeight="1">
      <c r="A45" t="s" s="9">
        <v>39</v>
      </c>
      <c r="B45" s="15"/>
      <c r="C45" s="16"/>
      <c r="D45" s="16"/>
      <c r="E45" s="19">
        <f>'Sales'!C18/'Sales'!C14-1</f>
        <v>1.76103197685813</v>
      </c>
    </row>
    <row r="46" ht="20.05" customHeight="1">
      <c r="A46" t="s" s="9">
        <v>40</v>
      </c>
      <c r="B46" s="15"/>
      <c r="C46" s="16"/>
      <c r="D46" s="16"/>
      <c r="E46" s="19">
        <f>('Sales'!D17+'Sales'!D18)/('Sales'!C18+'Sales'!C17)-1</f>
        <v>-0.211917398617081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4531" style="21" customWidth="1"/>
    <col min="2" max="11" width="10.4219" style="21" customWidth="1"/>
    <col min="12" max="16384" width="16.3516" style="21" customWidth="1"/>
  </cols>
  <sheetData>
    <row r="1" ht="64.15" customHeight="1"/>
    <row r="2" ht="27.65" customHeight="1">
      <c r="B2" t="s" s="2">
        <v>41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22">
        <v>1</v>
      </c>
      <c r="C3" t="s" s="22">
        <v>5</v>
      </c>
      <c r="D3" t="s" s="22">
        <v>33</v>
      </c>
      <c r="E3" t="s" s="22">
        <v>20</v>
      </c>
      <c r="F3" t="s" s="22">
        <v>42</v>
      </c>
      <c r="G3" t="s" s="22">
        <v>43</v>
      </c>
      <c r="H3" t="s" s="22">
        <v>4</v>
      </c>
      <c r="I3" t="s" s="22">
        <v>6</v>
      </c>
      <c r="J3" t="s" s="22">
        <v>44</v>
      </c>
      <c r="K3" t="s" s="22">
        <v>44</v>
      </c>
    </row>
    <row r="4" ht="20.25" customHeight="1">
      <c r="B4" s="23">
        <v>2018</v>
      </c>
      <c r="C4" s="24">
        <v>47</v>
      </c>
      <c r="D4" s="25"/>
      <c r="E4" s="26">
        <v>0</v>
      </c>
      <c r="F4" s="26"/>
      <c r="G4" s="26">
        <v>7.49</v>
      </c>
      <c r="H4" s="26"/>
      <c r="I4" s="26"/>
      <c r="J4" s="26"/>
      <c r="K4" s="26"/>
    </row>
    <row r="5" ht="20.05" customHeight="1">
      <c r="B5" s="27"/>
      <c r="C5" s="15">
        <v>47</v>
      </c>
      <c r="D5" s="14"/>
      <c r="E5" s="16">
        <v>0</v>
      </c>
      <c r="F5" s="16"/>
      <c r="G5" s="16">
        <v>-5.991</v>
      </c>
      <c r="H5" s="16"/>
      <c r="I5" s="16"/>
      <c r="J5" s="16"/>
      <c r="K5" s="16"/>
    </row>
    <row r="6" ht="20.05" customHeight="1">
      <c r="B6" s="27"/>
      <c r="C6" s="15">
        <v>47</v>
      </c>
      <c r="D6" s="14"/>
      <c r="E6" s="16">
        <v>0</v>
      </c>
      <c r="F6" s="16"/>
      <c r="G6" s="16">
        <v>1.719</v>
      </c>
      <c r="H6" s="16"/>
      <c r="I6" s="16"/>
      <c r="J6" s="16"/>
      <c r="K6" s="16"/>
    </row>
    <row r="7" ht="20.05" customHeight="1">
      <c r="B7" s="27"/>
      <c r="C7" s="15">
        <v>47</v>
      </c>
      <c r="D7" s="14"/>
      <c r="E7" s="16">
        <v>0.062</v>
      </c>
      <c r="F7" s="16"/>
      <c r="G7" s="16">
        <v>4.143</v>
      </c>
      <c r="H7" s="16"/>
      <c r="I7" s="16"/>
      <c r="J7" s="16"/>
      <c r="K7" s="16"/>
    </row>
    <row r="8" ht="20.05" customHeight="1">
      <c r="B8" s="28">
        <v>2019</v>
      </c>
      <c r="C8" s="15">
        <v>15</v>
      </c>
      <c r="D8" s="14"/>
      <c r="E8" s="16">
        <v>0.031</v>
      </c>
      <c r="F8" s="16"/>
      <c r="G8" s="16">
        <v>16.58</v>
      </c>
      <c r="H8" s="16"/>
      <c r="I8" s="19"/>
      <c r="J8" s="19"/>
      <c r="K8" s="19">
        <f>('Cashflow '!D3-'Cashflow '!B3)/'Cashflow '!B3</f>
        <v>-2.45239371888165</v>
      </c>
    </row>
    <row r="9" ht="20.05" customHeight="1">
      <c r="B9" s="27"/>
      <c r="C9" s="15">
        <v>29</v>
      </c>
      <c r="D9" s="14"/>
      <c r="E9" s="16">
        <v>0.097</v>
      </c>
      <c r="F9" s="16"/>
      <c r="G9" s="16">
        <v>-13.362</v>
      </c>
      <c r="H9" s="16"/>
      <c r="I9" s="19">
        <f>(E9+G9-C9)/C9</f>
        <v>-1.45741379310345</v>
      </c>
      <c r="J9" s="19"/>
      <c r="K9" s="19">
        <f>('Cashflow '!D4-'Cashflow '!B4)/'Cashflow '!B4</f>
        <v>-2.21687203791469</v>
      </c>
    </row>
    <row r="10" ht="20.05" customHeight="1">
      <c r="B10" s="27"/>
      <c r="C10" s="15">
        <v>50</v>
      </c>
      <c r="D10" s="14"/>
      <c r="E10" s="16">
        <v>0.038</v>
      </c>
      <c r="F10" s="16"/>
      <c r="G10" s="16">
        <v>4.143</v>
      </c>
      <c r="H10" s="16"/>
      <c r="I10" s="19">
        <f>(E10+G10-C10)/C10</f>
        <v>-0.91638</v>
      </c>
      <c r="J10" s="19"/>
      <c r="K10" s="19">
        <f>('Cashflow '!D5-'Cashflow '!B5)/'Cashflow '!B5</f>
        <v>-0.828591073631418</v>
      </c>
    </row>
    <row r="11" ht="20.05" customHeight="1">
      <c r="B11" s="27"/>
      <c r="C11" s="15">
        <v>117</v>
      </c>
      <c r="D11" s="14"/>
      <c r="E11" s="16">
        <v>0.226</v>
      </c>
      <c r="F11" s="16"/>
      <c r="G11" s="16">
        <v>9.218999999999999</v>
      </c>
      <c r="H11" s="16"/>
      <c r="I11" s="19">
        <f>(E11+G11-C11)/C11</f>
        <v>-0.919273504273504</v>
      </c>
      <c r="J11" s="19">
        <f>AVERAGE(K8:K11)</f>
        <v>-1.62842213525087</v>
      </c>
      <c r="K11" s="19">
        <f>('Cashflow '!D6-'Cashflow '!B6)/'Cashflow '!B6</f>
        <v>-1.01583171057572</v>
      </c>
    </row>
    <row r="12" ht="20.05" customHeight="1">
      <c r="B12" s="28">
        <v>2020</v>
      </c>
      <c r="C12" s="15">
        <v>85.23</v>
      </c>
      <c r="D12" s="14"/>
      <c r="E12" s="16">
        <v>0.219</v>
      </c>
      <c r="F12" s="16"/>
      <c r="G12" s="16">
        <v>8.827999999999999</v>
      </c>
      <c r="H12" s="19">
        <f>C12/C11-1</f>
        <v>-0.271538461538462</v>
      </c>
      <c r="I12" s="19">
        <f>(E12+G12-C12)/C12</f>
        <v>-0.893851930071571</v>
      </c>
      <c r="J12" s="19">
        <f>AVERAGE(K9:K12)</f>
        <v>-1.79458285300445</v>
      </c>
      <c r="K12" s="19">
        <f>('Cashflow '!D7-'Cashflow '!B7)/'Cashflow '!B7</f>
        <v>-3.11703658989599</v>
      </c>
    </row>
    <row r="13" ht="20.05" customHeight="1">
      <c r="B13" s="27"/>
      <c r="C13" s="15">
        <v>134.835</v>
      </c>
      <c r="D13" s="16"/>
      <c r="E13" s="14">
        <v>0.5590000000000001</v>
      </c>
      <c r="F13" s="14"/>
      <c r="G13" s="14">
        <v>9.301</v>
      </c>
      <c r="H13" s="19">
        <f>C13/C12-1</f>
        <v>0.582013375571982</v>
      </c>
      <c r="I13" s="19">
        <f>(E13+G13-C13)/C13</f>
        <v>-0.926873586235028</v>
      </c>
      <c r="J13" s="19">
        <f>AVERAGE(K10:K13)</f>
        <v>-1.21794636526491</v>
      </c>
      <c r="K13" s="19">
        <f>('Cashflow '!D8-'Cashflow '!B8)/'Cashflow '!B8</f>
        <v>0.0896739130434783</v>
      </c>
    </row>
    <row r="14" ht="20.05" customHeight="1">
      <c r="B14" s="27"/>
      <c r="C14" s="15">
        <v>127.561</v>
      </c>
      <c r="D14" s="16"/>
      <c r="E14" s="14">
        <v>0.619</v>
      </c>
      <c r="F14" s="14"/>
      <c r="G14" s="14">
        <v>6.763</v>
      </c>
      <c r="H14" s="19">
        <f>C14/C13-1</f>
        <v>-0.0539474172136315</v>
      </c>
      <c r="I14" s="19">
        <f>(E14+G14-C14)/C14</f>
        <v>-0.942129647776358</v>
      </c>
      <c r="J14" s="19">
        <f>AVERAGE(K11:K14)</f>
        <v>-1.73603982603016</v>
      </c>
      <c r="K14" s="19">
        <f>('Cashflow '!D9-'Cashflow '!B9)/'Cashflow '!B9</f>
        <v>-2.90096491669241</v>
      </c>
    </row>
    <row r="15" ht="20.05" customHeight="1">
      <c r="B15" s="27"/>
      <c r="C15" s="15">
        <v>169.574</v>
      </c>
      <c r="D15" s="16"/>
      <c r="E15" s="14">
        <v>2.703</v>
      </c>
      <c r="F15" s="14"/>
      <c r="G15" s="14">
        <v>7.108</v>
      </c>
      <c r="H15" s="19">
        <f>C15/C14-1</f>
        <v>0.329356151174732</v>
      </c>
      <c r="I15" s="19">
        <f>(E15+G15-C15)/C15</f>
        <v>-0.942143253093045</v>
      </c>
      <c r="J15" s="19">
        <f>AVERAGE(K12:K15)</f>
        <v>-1.72414920139903</v>
      </c>
      <c r="K15" s="19">
        <f>('Cashflow '!D10-'Cashflow '!B10)/'Cashflow '!B10</f>
        <v>-0.968269212051211</v>
      </c>
    </row>
    <row r="16" ht="20.05" customHeight="1">
      <c r="B16" s="28">
        <v>2021</v>
      </c>
      <c r="C16" s="15">
        <v>180.7</v>
      </c>
      <c r="D16" s="16"/>
      <c r="E16" s="14">
        <v>3.8</v>
      </c>
      <c r="F16" s="14">
        <v>4</v>
      </c>
      <c r="G16" s="14">
        <v>10.3</v>
      </c>
      <c r="H16" s="19">
        <f>C16/C15-1</f>
        <v>0.0656114734570158</v>
      </c>
      <c r="I16" s="19">
        <f>(E16+G16-F16-C16)/C16</f>
        <v>-0.944106253458771</v>
      </c>
      <c r="J16" s="19">
        <f>AVERAGE(K13:K16)</f>
        <v>-1.14360483395469</v>
      </c>
      <c r="K16" s="19">
        <f>('Cashflow '!D11-'Cashflow '!B11)/'Cashflow '!B11</f>
        <v>-0.794859120118636</v>
      </c>
    </row>
    <row r="17" ht="20.05" customHeight="1">
      <c r="B17" s="27"/>
      <c r="C17" s="15">
        <v>182.9</v>
      </c>
      <c r="D17" s="14">
        <v>226</v>
      </c>
      <c r="E17" s="14">
        <v>4.5</v>
      </c>
      <c r="F17" s="14">
        <v>101</v>
      </c>
      <c r="G17" s="14">
        <v>105.6</v>
      </c>
      <c r="H17" s="19">
        <f>C17/C16-1</f>
        <v>0.012174875484228</v>
      </c>
      <c r="I17" s="19">
        <f>(E17+G17-F17-C17)/C17</f>
        <v>-0.950246036085293</v>
      </c>
      <c r="J17" s="19">
        <f>AVERAGE(K14:K17)</f>
        <v>-1.37715136099605</v>
      </c>
      <c r="K17" s="19">
        <f>('Cashflow '!D12-'Cashflow '!B12)/'Cashflow '!B12</f>
        <v>-0.844512195121951</v>
      </c>
    </row>
    <row r="18" ht="20.05" customHeight="1">
      <c r="B18" s="27"/>
      <c r="C18" s="15">
        <f>715.8-SUM(C16:C17)</f>
        <v>352.2</v>
      </c>
      <c r="D18" s="14">
        <v>195.703</v>
      </c>
      <c r="E18" s="16">
        <f>11.5+1.5-SUM(E16:E17)</f>
        <v>4.7</v>
      </c>
      <c r="F18" s="16">
        <f>211.2-SUM(F16:F17)</f>
        <v>106.2</v>
      </c>
      <c r="G18" s="16">
        <f>226.5-SUM(G16:G17)</f>
        <v>110.6</v>
      </c>
      <c r="H18" s="19">
        <f>C18/C17-1</f>
        <v>0.925642427556042</v>
      </c>
      <c r="I18" s="19">
        <f>(E18+G18-F18-C18)/C18</f>
        <v>-0.974162407722885</v>
      </c>
      <c r="J18" s="19">
        <f>AVERAGE(K15:K18)</f>
        <v>-0.93599763556883</v>
      </c>
      <c r="K18" s="19">
        <f>('Cashflow '!D13-'Cashflow '!B13)/'Cashflow '!B13</f>
        <v>-1.13635001498352</v>
      </c>
    </row>
    <row r="19" ht="20.05" customHeight="1">
      <c r="B19" s="27"/>
      <c r="C19" s="15"/>
      <c r="D19" s="14">
        <f>'Model'!B5</f>
        <v>408.552</v>
      </c>
      <c r="E19" s="16"/>
      <c r="F19" s="16"/>
      <c r="G19" s="16"/>
      <c r="H19" s="16"/>
      <c r="I19" s="19">
        <f>'Model'!B6</f>
        <v>-0.952664487589999</v>
      </c>
      <c r="J19" s="16"/>
      <c r="K19" s="16"/>
    </row>
    <row r="20" ht="20.05" customHeight="1">
      <c r="B20" s="28">
        <v>2022</v>
      </c>
      <c r="C20" s="15"/>
      <c r="D20" s="14">
        <f>'Model'!C5</f>
        <v>404.46648</v>
      </c>
      <c r="E20" s="16"/>
      <c r="F20" s="16"/>
      <c r="G20" s="16"/>
      <c r="H20" s="16"/>
      <c r="I20" s="16"/>
      <c r="J20" s="16"/>
      <c r="K20" s="16"/>
    </row>
    <row r="21" ht="20.05" customHeight="1">
      <c r="B21" s="27"/>
      <c r="C21" s="15"/>
      <c r="D21" s="14">
        <f>'Model'!D5</f>
        <v>444.913128</v>
      </c>
      <c r="E21" s="16"/>
      <c r="F21" s="16"/>
      <c r="G21" s="16"/>
      <c r="H21" s="16"/>
      <c r="I21" s="16"/>
      <c r="J21" s="16"/>
      <c r="K21" s="16"/>
    </row>
    <row r="22" ht="20.05" customHeight="1">
      <c r="B22" s="27"/>
      <c r="C22" s="15"/>
      <c r="D22" s="14">
        <f>'Model'!E5</f>
        <v>476.05704696</v>
      </c>
      <c r="E22" s="16"/>
      <c r="F22" s="16"/>
      <c r="G22" s="16"/>
      <c r="H22" s="16"/>
      <c r="I22" s="16"/>
      <c r="J22" s="16"/>
      <c r="K22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8.78906" style="29" customWidth="1"/>
    <col min="10" max="16384" width="16.3516" style="29" customWidth="1"/>
  </cols>
  <sheetData>
    <row r="1" ht="27.65" customHeight="1">
      <c r="A1" t="s" s="2">
        <v>45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22">
        <v>1</v>
      </c>
      <c r="B2" t="s" s="22">
        <v>46</v>
      </c>
      <c r="C2" t="s" s="22">
        <v>47</v>
      </c>
      <c r="D2" t="s" s="22">
        <v>8</v>
      </c>
      <c r="E2" t="s" s="22">
        <v>9</v>
      </c>
      <c r="F2" t="s" s="22">
        <v>48</v>
      </c>
      <c r="G2" t="s" s="22">
        <v>49</v>
      </c>
      <c r="H2" t="s" s="22">
        <v>50</v>
      </c>
      <c r="I2" t="s" s="22">
        <v>28</v>
      </c>
    </row>
    <row r="3" ht="20.25" customHeight="1">
      <c r="A3" s="23">
        <v>2019</v>
      </c>
      <c r="B3" s="24">
        <v>13.055</v>
      </c>
      <c r="C3" s="26">
        <v>-2.75</v>
      </c>
      <c r="D3" s="26">
        <v>-18.961</v>
      </c>
      <c r="E3" s="26">
        <v>-0.8</v>
      </c>
      <c r="F3" s="26">
        <v>19.36</v>
      </c>
      <c r="G3" s="26">
        <f>D3+C3</f>
        <v>-21.711</v>
      </c>
      <c r="H3" s="26">
        <f>AVERAGE(G2:G3)</f>
        <v>-21.711</v>
      </c>
      <c r="I3" s="26">
        <f>-F3</f>
        <v>-19.36</v>
      </c>
    </row>
    <row r="4" ht="20.05" customHeight="1">
      <c r="A4" s="27"/>
      <c r="B4" s="15">
        <v>10.55</v>
      </c>
      <c r="C4" s="30">
        <v>-2.75</v>
      </c>
      <c r="D4" s="16">
        <v>-12.838</v>
      </c>
      <c r="E4" s="16">
        <v>-0.7</v>
      </c>
      <c r="F4" s="16">
        <v>14.105</v>
      </c>
      <c r="G4" s="16">
        <f>D4+C4</f>
        <v>-15.588</v>
      </c>
      <c r="H4" s="16">
        <f>AVERAGE(G2:G4)</f>
        <v>-18.6495</v>
      </c>
      <c r="I4" s="16">
        <f>-F4+I3</f>
        <v>-33.465</v>
      </c>
    </row>
    <row r="5" ht="20.05" customHeight="1">
      <c r="A5" s="27"/>
      <c r="B5" s="15">
        <v>49.449</v>
      </c>
      <c r="C5" s="16">
        <v>-2.75</v>
      </c>
      <c r="D5" s="16">
        <v>8.476000000000001</v>
      </c>
      <c r="E5" s="16">
        <v>-0.175</v>
      </c>
      <c r="F5" s="16">
        <v>0.02</v>
      </c>
      <c r="G5" s="16">
        <f>D5+C5</f>
        <v>5.726</v>
      </c>
      <c r="H5" s="16">
        <f>AVERAGE(G2:G5)</f>
        <v>-10.5243333333333</v>
      </c>
      <c r="I5" s="16">
        <f>-F5+I4</f>
        <v>-33.485</v>
      </c>
    </row>
    <row r="6" ht="20.05" customHeight="1">
      <c r="A6" s="27"/>
      <c r="B6" s="15">
        <v>114.517</v>
      </c>
      <c r="C6" s="16">
        <v>-2.75</v>
      </c>
      <c r="D6" s="16">
        <v>-1.813</v>
      </c>
      <c r="E6" s="16">
        <v>-177.675</v>
      </c>
      <c r="F6" s="16">
        <v>606.235</v>
      </c>
      <c r="G6" s="16">
        <f>D6+C6</f>
        <v>-4.563</v>
      </c>
      <c r="H6" s="16">
        <f>AVERAGE(G3:G6)</f>
        <v>-9.034000000000001</v>
      </c>
      <c r="I6" s="16">
        <f>-F6+I5</f>
        <v>-639.72</v>
      </c>
    </row>
    <row r="7" ht="20.05" customHeight="1">
      <c r="A7" s="28">
        <v>2020</v>
      </c>
      <c r="B7" s="15">
        <v>43.072</v>
      </c>
      <c r="C7" s="16">
        <v>-12</v>
      </c>
      <c r="D7" s="16">
        <v>-91.185</v>
      </c>
      <c r="E7" s="16">
        <v>-0.3</v>
      </c>
      <c r="F7" s="16">
        <v>-45.822</v>
      </c>
      <c r="G7" s="16">
        <f>D7+C7</f>
        <v>-103.185</v>
      </c>
      <c r="H7" s="16">
        <f>AVERAGE(G4:G7)</f>
        <v>-29.4025</v>
      </c>
      <c r="I7" s="16">
        <f>-F7+I6</f>
        <v>-593.898</v>
      </c>
    </row>
    <row r="8" ht="20.05" customHeight="1">
      <c r="A8" s="27"/>
      <c r="B8" s="15">
        <v>138.736</v>
      </c>
      <c r="C8" s="16">
        <v>-12</v>
      </c>
      <c r="D8" s="16">
        <v>151.177</v>
      </c>
      <c r="E8" s="16">
        <v>-105.7</v>
      </c>
      <c r="F8" s="16">
        <v>95.131</v>
      </c>
      <c r="G8" s="16">
        <f>D8+C8</f>
        <v>139.177</v>
      </c>
      <c r="H8" s="16">
        <f>AVERAGE(G5:G8)</f>
        <v>9.28875</v>
      </c>
      <c r="I8" s="16">
        <f>-F8+I7</f>
        <v>-689.029</v>
      </c>
    </row>
    <row r="9" ht="20.05" customHeight="1">
      <c r="A9" s="27"/>
      <c r="B9" s="15">
        <v>139.183</v>
      </c>
      <c r="C9" s="16">
        <v>-12</v>
      </c>
      <c r="D9" s="16">
        <v>-264.582</v>
      </c>
      <c r="E9" s="16">
        <v>68</v>
      </c>
      <c r="F9" s="16">
        <v>-3.732</v>
      </c>
      <c r="G9" s="16">
        <f>D9+C9</f>
        <v>-276.582</v>
      </c>
      <c r="H9" s="16">
        <f>AVERAGE(G6:G9)</f>
        <v>-61.28825</v>
      </c>
      <c r="I9" s="16">
        <f>-F9+I8</f>
        <v>-685.297</v>
      </c>
    </row>
    <row r="10" ht="20.05" customHeight="1">
      <c r="A10" s="27"/>
      <c r="B10" s="15">
        <v>154.109</v>
      </c>
      <c r="C10" s="16">
        <v>-12</v>
      </c>
      <c r="D10" s="16">
        <v>4.89</v>
      </c>
      <c r="E10" s="16">
        <v>72.205</v>
      </c>
      <c r="F10" s="16">
        <v>-70.877</v>
      </c>
      <c r="G10" s="16">
        <f>D10+C10</f>
        <v>-7.11</v>
      </c>
      <c r="H10" s="16">
        <f>AVERAGE(G7:G10)</f>
        <v>-61.925</v>
      </c>
      <c r="I10" s="16">
        <f>-F10+I9</f>
        <v>-614.42</v>
      </c>
    </row>
    <row r="11" ht="20.05" customHeight="1">
      <c r="A11" s="28">
        <v>2021</v>
      </c>
      <c r="B11" s="15">
        <v>202.3</v>
      </c>
      <c r="C11" s="16">
        <v>-8.5</v>
      </c>
      <c r="D11" s="16">
        <v>41.5</v>
      </c>
      <c r="E11" s="16">
        <v>-50.7</v>
      </c>
      <c r="F11" s="16">
        <v>-7.8</v>
      </c>
      <c r="G11" s="16">
        <f>D11+C11</f>
        <v>33</v>
      </c>
      <c r="H11" s="16">
        <f>AVERAGE(G8:G11)</f>
        <v>-27.87875</v>
      </c>
      <c r="I11" s="16">
        <f>-F11+I10</f>
        <v>-606.62</v>
      </c>
    </row>
    <row r="12" ht="20.05" customHeight="1">
      <c r="A12" s="27"/>
      <c r="B12" s="15">
        <v>164</v>
      </c>
      <c r="C12" s="16">
        <v>-8.5</v>
      </c>
      <c r="D12" s="16">
        <v>25.5</v>
      </c>
      <c r="E12" s="16">
        <v>-6.9</v>
      </c>
      <c r="F12" s="16">
        <v>46</v>
      </c>
      <c r="G12" s="16">
        <f>D12+C12</f>
        <v>17</v>
      </c>
      <c r="H12" s="16">
        <f>AVERAGE(G9:G12)</f>
        <v>-58.423</v>
      </c>
      <c r="I12" s="16">
        <f>-F12+I11</f>
        <v>-652.62</v>
      </c>
    </row>
    <row r="13" ht="20.05" customHeight="1">
      <c r="A13" s="27"/>
      <c r="B13" s="15">
        <f>700-SUM(B11:B12)</f>
        <v>333.7</v>
      </c>
      <c r="C13" s="16">
        <f>-19.8-SUM(C11:C12)</f>
        <v>-2.8</v>
      </c>
      <c r="D13" s="16">
        <f>21.5-SUM(D11:D12)</f>
        <v>-45.5</v>
      </c>
      <c r="E13" s="16">
        <f>-106.2-SUM(E11:E12)</f>
        <v>-48.6</v>
      </c>
      <c r="F13" s="16">
        <f>31.3-SUM(F11:F12)</f>
        <v>-6.9</v>
      </c>
      <c r="G13" s="16">
        <f>D13+C13</f>
        <v>-48.3</v>
      </c>
      <c r="H13" s="16">
        <f>AVERAGE(G10:G13)</f>
        <v>-1.3525</v>
      </c>
      <c r="I13" s="16">
        <f>-F13+I12</f>
        <v>-645.72</v>
      </c>
    </row>
    <row r="14" ht="20.05" customHeight="1">
      <c r="A14" s="27"/>
      <c r="B14" s="15"/>
      <c r="C14" s="16"/>
      <c r="D14" s="16"/>
      <c r="E14" s="16"/>
      <c r="F14" s="16"/>
      <c r="G14" s="16"/>
      <c r="H14" s="16">
        <f>SUM('Model'!E8:E9)</f>
        <v>19.734404254244</v>
      </c>
      <c r="I14" s="16">
        <f>'Model'!E32</f>
        <v>-605.218952551302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9.91406" style="31" customWidth="1"/>
    <col min="11" max="16384" width="16.3516" style="31" customWidth="1"/>
  </cols>
  <sheetData>
    <row r="1" ht="27.65" customHeight="1">
      <c r="A1" t="s" s="2">
        <v>51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22">
        <v>1</v>
      </c>
      <c r="B2" t="s" s="22">
        <v>52</v>
      </c>
      <c r="C2" t="s" s="22">
        <v>53</v>
      </c>
      <c r="D2" t="s" s="22">
        <v>22</v>
      </c>
      <c r="E2" t="s" s="22">
        <v>23</v>
      </c>
      <c r="F2" t="s" s="22">
        <v>12</v>
      </c>
      <c r="G2" t="s" s="22">
        <v>13</v>
      </c>
      <c r="H2" t="s" s="22">
        <v>25</v>
      </c>
      <c r="I2" t="s" s="22">
        <v>54</v>
      </c>
      <c r="J2" t="s" s="22">
        <v>33</v>
      </c>
    </row>
    <row r="3" ht="20.25" customHeight="1">
      <c r="A3" s="23">
        <v>2020</v>
      </c>
      <c r="B3" s="24">
        <v>304</v>
      </c>
      <c r="C3" s="26">
        <v>727</v>
      </c>
      <c r="D3" s="26">
        <f>C3-B3</f>
        <v>423</v>
      </c>
      <c r="E3" s="26">
        <v>0</v>
      </c>
      <c r="F3" s="26">
        <v>57</v>
      </c>
      <c r="G3" s="26">
        <v>670</v>
      </c>
      <c r="H3" s="26">
        <f>F3+G3-B3-D3</f>
        <v>0</v>
      </c>
      <c r="I3" s="26">
        <f>B3-F3</f>
        <v>247</v>
      </c>
      <c r="J3" s="26"/>
    </row>
    <row r="4" ht="20.05" customHeight="1">
      <c r="A4" s="27"/>
      <c r="B4" s="15">
        <v>325</v>
      </c>
      <c r="C4" s="16">
        <v>781</v>
      </c>
      <c r="D4" s="16">
        <f>C4-B4</f>
        <v>456</v>
      </c>
      <c r="E4" s="16">
        <v>0</v>
      </c>
      <c r="F4" s="16">
        <v>110</v>
      </c>
      <c r="G4" s="16">
        <v>671</v>
      </c>
      <c r="H4" s="16">
        <f>F4+G4-B4-D4</f>
        <v>0</v>
      </c>
      <c r="I4" s="16">
        <f>B4-F4</f>
        <v>215</v>
      </c>
      <c r="J4" s="16"/>
    </row>
    <row r="5" ht="20.05" customHeight="1">
      <c r="A5" s="27"/>
      <c r="B5" s="15">
        <v>244</v>
      </c>
      <c r="C5" s="16">
        <v>787</v>
      </c>
      <c r="D5" s="16">
        <f>C5-B5</f>
        <v>543</v>
      </c>
      <c r="E5" s="16">
        <v>0</v>
      </c>
      <c r="F5" s="16">
        <v>110</v>
      </c>
      <c r="G5" s="16">
        <v>677</v>
      </c>
      <c r="H5" s="16">
        <f>F5+G5-B5-D5</f>
        <v>0</v>
      </c>
      <c r="I5" s="16">
        <f>B5-F5</f>
        <v>134</v>
      </c>
      <c r="J5" s="16"/>
    </row>
    <row r="6" ht="20.05" customHeight="1">
      <c r="A6" s="27"/>
      <c r="B6" s="15">
        <v>250</v>
      </c>
      <c r="C6" s="16">
        <v>800</v>
      </c>
      <c r="D6" s="16">
        <f>C6-B6</f>
        <v>550</v>
      </c>
      <c r="E6" s="16">
        <v>4.3</v>
      </c>
      <c r="F6" s="16">
        <v>116</v>
      </c>
      <c r="G6" s="16">
        <v>684</v>
      </c>
      <c r="H6" s="16">
        <f>F6+G6-B6-D6</f>
        <v>0</v>
      </c>
      <c r="I6" s="16">
        <f>B6-F6</f>
        <v>134</v>
      </c>
      <c r="J6" s="16"/>
    </row>
    <row r="7" ht="20.05" customHeight="1">
      <c r="A7" s="28">
        <v>2021</v>
      </c>
      <c r="B7" s="15">
        <v>223</v>
      </c>
      <c r="C7" s="16">
        <v>821</v>
      </c>
      <c r="D7" s="16">
        <f>C7-B7</f>
        <v>598</v>
      </c>
      <c r="E7" s="16">
        <v>9</v>
      </c>
      <c r="F7" s="16">
        <v>125</v>
      </c>
      <c r="G7" s="16">
        <v>696</v>
      </c>
      <c r="H7" s="16">
        <f>F7+G7-B7-D7</f>
        <v>0</v>
      </c>
      <c r="I7" s="16">
        <f>B7-F7</f>
        <v>98</v>
      </c>
      <c r="J7" s="16"/>
    </row>
    <row r="8" ht="20.05" customHeight="1">
      <c r="A8" s="27"/>
      <c r="B8" s="15">
        <v>298</v>
      </c>
      <c r="C8" s="16">
        <v>928</v>
      </c>
      <c r="D8" s="16">
        <f>C8-B8</f>
        <v>630</v>
      </c>
      <c r="E8" s="16">
        <v>13</v>
      </c>
      <c r="F8" s="16">
        <v>127</v>
      </c>
      <c r="G8" s="16">
        <v>801</v>
      </c>
      <c r="H8" s="16">
        <f>F8+G8-B8-D8</f>
        <v>0</v>
      </c>
      <c r="I8" s="16">
        <f>B8-F8</f>
        <v>171</v>
      </c>
      <c r="J8" s="16"/>
    </row>
    <row r="9" ht="20.05" customHeight="1">
      <c r="A9" s="27"/>
      <c r="B9" s="15">
        <v>197</v>
      </c>
      <c r="C9" s="16">
        <v>1041</v>
      </c>
      <c r="D9" s="16">
        <f>C9-B9</f>
        <v>844</v>
      </c>
      <c r="E9" s="16">
        <f>16+2</f>
        <v>18</v>
      </c>
      <c r="F9" s="16">
        <v>116</v>
      </c>
      <c r="G9" s="16">
        <v>925</v>
      </c>
      <c r="H9" s="16">
        <f>F9+G9-B9-D9</f>
        <v>0</v>
      </c>
      <c r="I9" s="16">
        <f>B9-F9</f>
        <v>81</v>
      </c>
      <c r="J9" s="16">
        <f>I9</f>
        <v>81</v>
      </c>
    </row>
    <row r="10" ht="20.05" customHeight="1">
      <c r="A10" s="27"/>
      <c r="B10" s="15"/>
      <c r="C10" s="16"/>
      <c r="D10" s="16">
        <f>C10-B10</f>
        <v>0</v>
      </c>
      <c r="E10" s="16"/>
      <c r="F10" s="16"/>
      <c r="G10" s="16"/>
      <c r="H10" s="16"/>
      <c r="I10" s="16"/>
      <c r="J10" s="16">
        <f>'Model'!E30</f>
        <v>132.895469046962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2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3.1797" style="32" customWidth="1"/>
    <col min="4" max="16384" width="16.3516" style="32" customWidth="1"/>
  </cols>
  <sheetData>
    <row r="1" ht="27.65" customHeight="1">
      <c r="A1" t="s" s="2">
        <v>55</v>
      </c>
      <c r="B1" s="2"/>
      <c r="C1" s="2"/>
    </row>
    <row r="2" ht="20.25" customHeight="1">
      <c r="A2" s="4"/>
      <c r="B2" t="s" s="3">
        <v>56</v>
      </c>
      <c r="C2" t="s" s="3">
        <v>57</v>
      </c>
    </row>
    <row r="3" ht="20.25" customHeight="1">
      <c r="A3" s="33"/>
      <c r="B3" s="24">
        <v>236</v>
      </c>
      <c r="C3" s="7"/>
    </row>
    <row r="4" ht="20.05" customHeight="1">
      <c r="A4" s="27"/>
      <c r="B4" s="15">
        <v>246</v>
      </c>
      <c r="C4" s="18"/>
    </row>
    <row r="5" ht="20.05" customHeight="1">
      <c r="A5" s="28">
        <v>2020</v>
      </c>
      <c r="B5" s="15">
        <v>212</v>
      </c>
      <c r="C5" s="18"/>
    </row>
    <row r="6" ht="20.05" customHeight="1">
      <c r="A6" s="27"/>
      <c r="B6" s="15">
        <v>120</v>
      </c>
      <c r="C6" s="18"/>
    </row>
    <row r="7" ht="20.05" customHeight="1">
      <c r="A7" s="27"/>
      <c r="B7" s="15">
        <v>66</v>
      </c>
      <c r="C7" s="18"/>
    </row>
    <row r="8" ht="20.05" customHeight="1">
      <c r="A8" s="27"/>
      <c r="B8" s="15">
        <v>100</v>
      </c>
      <c r="C8" s="18"/>
    </row>
    <row r="9" ht="20.05" customHeight="1">
      <c r="A9" s="27"/>
      <c r="B9" s="15">
        <v>91</v>
      </c>
      <c r="C9" s="18"/>
    </row>
    <row r="10" ht="20.05" customHeight="1">
      <c r="A10" s="27"/>
      <c r="B10" s="15">
        <v>197</v>
      </c>
      <c r="C10" s="18"/>
    </row>
    <row r="11" ht="20.05" customHeight="1">
      <c r="A11" s="27"/>
      <c r="B11" s="15">
        <v>230</v>
      </c>
      <c r="C11" s="18"/>
    </row>
    <row r="12" ht="20.05" customHeight="1">
      <c r="A12" s="27"/>
      <c r="B12" s="15">
        <v>193</v>
      </c>
      <c r="C12" s="18"/>
    </row>
    <row r="13" ht="20.05" customHeight="1">
      <c r="A13" s="27"/>
      <c r="B13" s="15">
        <v>171</v>
      </c>
      <c r="C13" s="18"/>
    </row>
    <row r="14" ht="20.05" customHeight="1">
      <c r="A14" s="27"/>
      <c r="B14" s="15">
        <v>175</v>
      </c>
      <c r="C14" s="18"/>
    </row>
    <row r="15" ht="20.05" customHeight="1">
      <c r="A15" s="27"/>
      <c r="B15" s="15">
        <v>202</v>
      </c>
      <c r="C15" s="18"/>
    </row>
    <row r="16" ht="20.05" customHeight="1">
      <c r="A16" s="27"/>
      <c r="B16" s="15">
        <v>236</v>
      </c>
      <c r="C16" s="18"/>
    </row>
    <row r="17" ht="20.05" customHeight="1">
      <c r="A17" s="28">
        <v>2021</v>
      </c>
      <c r="B17" s="15">
        <v>275</v>
      </c>
      <c r="C17" s="18"/>
    </row>
    <row r="18" ht="20.05" customHeight="1">
      <c r="A18" s="27"/>
      <c r="B18" s="15">
        <v>462</v>
      </c>
      <c r="C18" s="18"/>
    </row>
    <row r="19" ht="20.05" customHeight="1">
      <c r="A19" s="27"/>
      <c r="B19" s="15">
        <v>420</v>
      </c>
      <c r="C19" s="18"/>
    </row>
    <row r="20" ht="20.05" customHeight="1">
      <c r="A20" s="27"/>
      <c r="B20" s="15">
        <v>615</v>
      </c>
      <c r="C20" s="18"/>
    </row>
    <row r="21" ht="20.05" customHeight="1">
      <c r="A21" s="27"/>
      <c r="B21" s="15">
        <v>1235</v>
      </c>
      <c r="C21" s="18"/>
    </row>
    <row r="22" ht="20.05" customHeight="1">
      <c r="A22" s="27"/>
      <c r="B22" s="15">
        <v>1580</v>
      </c>
      <c r="C22" s="18"/>
    </row>
    <row r="23" ht="20.05" customHeight="1">
      <c r="A23" s="27"/>
      <c r="B23" s="15">
        <v>3140</v>
      </c>
      <c r="C23" s="18"/>
    </row>
    <row r="24" ht="20.05" customHeight="1">
      <c r="A24" s="27"/>
      <c r="B24" s="15">
        <v>3210</v>
      </c>
      <c r="C24" s="18"/>
    </row>
    <row r="25" ht="20.05" customHeight="1">
      <c r="A25" s="27"/>
      <c r="B25" s="15">
        <v>2790</v>
      </c>
      <c r="C25" s="18"/>
    </row>
    <row r="26" ht="20.05" customHeight="1">
      <c r="A26" s="27"/>
      <c r="B26" s="15">
        <v>2510</v>
      </c>
      <c r="C26" s="18"/>
    </row>
    <row r="27" ht="20.05" customHeight="1">
      <c r="A27" s="27"/>
      <c r="B27" s="15">
        <v>2630</v>
      </c>
      <c r="C27" s="16">
        <f>B27</f>
        <v>2630</v>
      </c>
    </row>
    <row r="28" ht="20.05" customHeight="1">
      <c r="A28" s="27"/>
      <c r="B28" s="15"/>
      <c r="C28" s="16">
        <f>'Model'!E42</f>
        <v>1787.760858049250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