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Data" sheetId="2" r:id="rId5"/>
    <sheet name="Capital" sheetId="3" r:id="rId6"/>
  </sheets>
</workbook>
</file>

<file path=xl/sharedStrings.xml><?xml version="1.0" encoding="utf-8"?>
<sst xmlns="http://schemas.openxmlformats.org/spreadsheetml/2006/main" uniqueCount="47">
  <si>
    <t>Model</t>
  </si>
  <si>
    <t>$m</t>
  </si>
  <si>
    <t>Cashflow</t>
  </si>
  <si>
    <t xml:space="preserve">Growth </t>
  </si>
  <si>
    <t>Sales</t>
  </si>
  <si>
    <t>Cost ratio</t>
  </si>
  <si>
    <t>Cash costs</t>
  </si>
  <si>
    <t>Non cash costs</t>
  </si>
  <si>
    <t>Profit</t>
  </si>
  <si>
    <t xml:space="preserve">Operating </t>
  </si>
  <si>
    <t xml:space="preserve">Investment </t>
  </si>
  <si>
    <t xml:space="preserve">Liabilities </t>
  </si>
  <si>
    <t xml:space="preserve">Equity </t>
  </si>
  <si>
    <t xml:space="preserve">Before revolver </t>
  </si>
  <si>
    <t>Revolver</t>
  </si>
  <si>
    <t xml:space="preserve">Beginning </t>
  </si>
  <si>
    <t>Change</t>
  </si>
  <si>
    <t xml:space="preserve">Ending </t>
  </si>
  <si>
    <t>Balance sheet</t>
  </si>
  <si>
    <t>Other assets</t>
  </si>
  <si>
    <t xml:space="preserve">Depreciation </t>
  </si>
  <si>
    <t>Net other assets</t>
  </si>
  <si>
    <t xml:space="preserve">Revolver </t>
  </si>
  <si>
    <t>Check</t>
  </si>
  <si>
    <t>Net cash</t>
  </si>
  <si>
    <t xml:space="preserve">Valuation </t>
  </si>
  <si>
    <t xml:space="preserve">Capital </t>
  </si>
  <si>
    <t xml:space="preserve">Market value </t>
  </si>
  <si>
    <t>P/assets</t>
  </si>
  <si>
    <t>Yield</t>
  </si>
  <si>
    <t xml:space="preserve">Payback </t>
  </si>
  <si>
    <t xml:space="preserve">Forecast </t>
  </si>
  <si>
    <t>Shares</t>
  </si>
  <si>
    <t>Target</t>
  </si>
  <si>
    <t xml:space="preserve">Current </t>
  </si>
  <si>
    <t xml:space="preserve">V target </t>
  </si>
  <si>
    <t xml:space="preserve">12 month growth </t>
  </si>
  <si>
    <t>Data</t>
  </si>
  <si>
    <t xml:space="preserve">Working capital </t>
  </si>
  <si>
    <t>Beginning</t>
  </si>
  <si>
    <t>Others</t>
  </si>
  <si>
    <t>Ending</t>
  </si>
  <si>
    <t>Assets</t>
  </si>
  <si>
    <t xml:space="preserve">Net cash </t>
  </si>
  <si>
    <t>Capital</t>
  </si>
  <si>
    <t>DIS</t>
  </si>
  <si>
    <t>Total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</si>
</sst>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0.0%"/>
    <numFmt numFmtId="61" formatCode="#,##0.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1" applyFont="1" applyFill="1" applyBorder="1" applyAlignment="1" applyProtection="0">
      <alignment vertical="top" wrapText="1"/>
    </xf>
    <xf numFmtId="0" fontId="2" fillId="3" borderId="2" applyNumberFormat="0" applyFont="1" applyFill="1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3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493077</xdr:colOff>
      <xdr:row>0</xdr:row>
      <xdr:rowOff>202591</xdr:rowOff>
    </xdr:from>
    <xdr:to>
      <xdr:col>11</xdr:col>
      <xdr:colOff>1182565</xdr:colOff>
      <xdr:row>40</xdr:row>
      <xdr:rowOff>209060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531677" y="202591"/>
          <a:ext cx="8157089" cy="1029347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5" width="9.11719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s="4"/>
      <c r="C2" s="4"/>
      <c r="D2" s="4"/>
      <c r="E2" s="4"/>
    </row>
    <row r="3" ht="20.25" customHeight="1">
      <c r="A3" t="s" s="5">
        <v>2</v>
      </c>
      <c r="B3" s="6">
        <f>AVERAGE('Data'!F3:I3)</f>
        <v>0.061194673656124</v>
      </c>
      <c r="C3" s="7"/>
      <c r="D3" s="7"/>
      <c r="E3" s="8">
        <f>AVERAGE(B4:E4)</f>
        <v>0.0475</v>
      </c>
    </row>
    <row r="4" ht="20.05" customHeight="1">
      <c r="A4" t="s" s="9">
        <v>3</v>
      </c>
      <c r="B4" s="10">
        <v>0.1</v>
      </c>
      <c r="C4" s="11">
        <v>-0.02</v>
      </c>
      <c r="D4" s="11">
        <v>0.06</v>
      </c>
      <c r="E4" s="11">
        <v>0.05</v>
      </c>
    </row>
    <row r="5" ht="20.05" customHeight="1">
      <c r="A5" t="s" s="9">
        <v>4</v>
      </c>
      <c r="B5" s="12">
        <f>'Data'!I4*(1+B4)</f>
        <v>20387.4</v>
      </c>
      <c r="C5" s="13">
        <f>B5*(1+C4)</f>
        <v>19979.652</v>
      </c>
      <c r="D5" s="13">
        <f>C5*(1+D4)</f>
        <v>21178.43112</v>
      </c>
      <c r="E5" s="13">
        <f>D5*(1+E4)</f>
        <v>22237.352676</v>
      </c>
    </row>
    <row r="6" ht="20.05" customHeight="1">
      <c r="A6" t="s" s="9">
        <v>5</v>
      </c>
      <c r="B6" s="14">
        <f>AVERAGE('Data'!F25)</f>
        <v>-0.868114960920672</v>
      </c>
      <c r="C6" s="15">
        <f>B6</f>
        <v>-0.868114960920672</v>
      </c>
      <c r="D6" s="15">
        <f>C6</f>
        <v>-0.868114960920672</v>
      </c>
      <c r="E6" s="15">
        <f>D6</f>
        <v>-0.868114960920672</v>
      </c>
    </row>
    <row r="7" ht="20.05" customHeight="1">
      <c r="A7" t="s" s="9">
        <v>6</v>
      </c>
      <c r="B7" s="12">
        <f>B5*B6</f>
        <v>-17698.6069542741</v>
      </c>
      <c r="C7" s="13">
        <f>C5*C6</f>
        <v>-17344.6348151886</v>
      </c>
      <c r="D7" s="13">
        <f>D5*D6</f>
        <v>-18385.3129040999</v>
      </c>
      <c r="E7" s="13">
        <f>E5*E6</f>
        <v>-19304.5785493049</v>
      </c>
    </row>
    <row r="8" ht="20.05" customHeight="1">
      <c r="A8" t="s" s="9">
        <v>7</v>
      </c>
      <c r="B8" s="12">
        <f>-AVERAGE('Data'!F7:I7)</f>
        <v>-209</v>
      </c>
      <c r="C8" s="13">
        <f>B8</f>
        <v>-209</v>
      </c>
      <c r="D8" s="13">
        <f>C8</f>
        <v>-209</v>
      </c>
      <c r="E8" s="13">
        <f>D8</f>
        <v>-209</v>
      </c>
    </row>
    <row r="9" ht="20.05" customHeight="1">
      <c r="A9" t="s" s="9">
        <v>8</v>
      </c>
      <c r="B9" s="12">
        <f>B5+B7+B8</f>
        <v>2479.7930457259</v>
      </c>
      <c r="C9" s="13">
        <f>C5+C7+C8</f>
        <v>2426.0171848114</v>
      </c>
      <c r="D9" s="13">
        <f>D5+D7+D8</f>
        <v>2584.1182159001</v>
      </c>
      <c r="E9" s="13">
        <f>E5+E7+E8</f>
        <v>2723.7741266951</v>
      </c>
    </row>
    <row r="10" ht="20.05" customHeight="1">
      <c r="A10" t="s" s="9">
        <v>9</v>
      </c>
      <c r="B10" s="12">
        <f>B5+B7</f>
        <v>2688.7930457259</v>
      </c>
      <c r="C10" s="13">
        <f>C5+C7</f>
        <v>2635.0171848114</v>
      </c>
      <c r="D10" s="13">
        <f>D5+D7</f>
        <v>2793.1182159001</v>
      </c>
      <c r="E10" s="13">
        <f>E5+E7</f>
        <v>2932.7741266951</v>
      </c>
    </row>
    <row r="11" ht="20.05" customHeight="1">
      <c r="A11" t="s" s="9">
        <v>10</v>
      </c>
      <c r="B11" s="12">
        <f>AVERAGE('Data'!F10:I10)</f>
        <v>-792.75</v>
      </c>
      <c r="C11" s="13">
        <f>B11</f>
        <v>-792.75</v>
      </c>
      <c r="D11" s="13">
        <f>C11</f>
        <v>-792.75</v>
      </c>
      <c r="E11" s="13">
        <f>D11</f>
        <v>-792.75</v>
      </c>
    </row>
    <row r="12" ht="20.05" customHeight="1">
      <c r="A12" t="s" s="9">
        <v>11</v>
      </c>
      <c r="B12" s="12">
        <f>-'Data'!I20/20</f>
        <v>-5529.9</v>
      </c>
      <c r="C12" s="13">
        <f>-B23/20</f>
        <v>-5253.405</v>
      </c>
      <c r="D12" s="13">
        <f>-C23/20</f>
        <v>-4990.73475</v>
      </c>
      <c r="E12" s="13">
        <f>-D23/20</f>
        <v>-4741.1980125</v>
      </c>
    </row>
    <row r="13" ht="20.05" customHeight="1">
      <c r="A13" t="s" s="9">
        <v>12</v>
      </c>
      <c r="B13" s="12">
        <f>IF(B9&gt;0,-B9*0.3,0)</f>
        <v>-743.937913717770</v>
      </c>
      <c r="C13" s="13">
        <f>IF(C9&gt;0,-C9*0.3,0)</f>
        <v>-727.8051554434199</v>
      </c>
      <c r="D13" s="13">
        <f>IF(D9&gt;0,-D9*0.3,0)</f>
        <v>-775.235464770030</v>
      </c>
      <c r="E13" s="13">
        <f>IF(E9&gt;0,-E9*0.3,0)</f>
        <v>-817.132238008530</v>
      </c>
    </row>
    <row r="14" ht="20.05" customHeight="1">
      <c r="A14" t="s" s="9">
        <v>13</v>
      </c>
      <c r="B14" s="12">
        <f>B10+B11+B12+B13</f>
        <v>-4377.794867991870</v>
      </c>
      <c r="C14" s="13">
        <f>C10+C11+C12+C13</f>
        <v>-4138.942970632020</v>
      </c>
      <c r="D14" s="13">
        <f>D10+D11+D12+D13</f>
        <v>-3765.601998869930</v>
      </c>
      <c r="E14" s="13">
        <f>E10+E11+E12+E13</f>
        <v>-3418.306123813430</v>
      </c>
    </row>
    <row r="15" ht="20.05" customHeight="1">
      <c r="A15" t="s" s="9">
        <v>14</v>
      </c>
      <c r="B15" s="12">
        <f>-MIN(0,B14)</f>
        <v>4377.794867991870</v>
      </c>
      <c r="C15" s="13">
        <f>-MIN(B24,C14)</f>
        <v>4138.942970632020</v>
      </c>
      <c r="D15" s="13">
        <f>-MIN(C24,D14)</f>
        <v>3765.601998869930</v>
      </c>
      <c r="E15" s="13">
        <f>-MIN(D24,E14)</f>
        <v>3418.306123813430</v>
      </c>
    </row>
    <row r="16" ht="20.05" customHeight="1">
      <c r="A16" t="s" s="9">
        <v>15</v>
      </c>
      <c r="B16" s="12">
        <f>'Data'!I16</f>
        <v>16003</v>
      </c>
      <c r="C16" s="13">
        <f>B18</f>
        <v>16003</v>
      </c>
      <c r="D16" s="13">
        <f>C18</f>
        <v>16003</v>
      </c>
      <c r="E16" s="13">
        <f>D18</f>
        <v>16003</v>
      </c>
    </row>
    <row r="17" ht="20.05" customHeight="1">
      <c r="A17" t="s" s="9">
        <v>16</v>
      </c>
      <c r="B17" s="12">
        <f>B10+B11+B12+B13+B15</f>
        <v>0</v>
      </c>
      <c r="C17" s="13">
        <f>C10+C11+C12+C13+C15</f>
        <v>0</v>
      </c>
      <c r="D17" s="13">
        <f>D10+D11+D12+D13+D15</f>
        <v>0</v>
      </c>
      <c r="E17" s="13">
        <f>E10+E11+E12+E13+E15</f>
        <v>0</v>
      </c>
    </row>
    <row r="18" ht="20.05" customHeight="1">
      <c r="A18" t="s" s="9">
        <v>17</v>
      </c>
      <c r="B18" s="12">
        <f>B16+B17</f>
        <v>16003</v>
      </c>
      <c r="C18" s="13">
        <f>C16+C17</f>
        <v>16003</v>
      </c>
      <c r="D18" s="13">
        <f>D16+D17</f>
        <v>16003</v>
      </c>
      <c r="E18" s="13">
        <f>E16+E17</f>
        <v>16003</v>
      </c>
    </row>
    <row r="19" ht="20.05" customHeight="1">
      <c r="A19" t="s" s="16">
        <v>18</v>
      </c>
      <c r="B19" s="12"/>
      <c r="C19" s="13"/>
      <c r="D19" s="13"/>
      <c r="E19" s="13"/>
    </row>
    <row r="20" ht="20.05" customHeight="1">
      <c r="A20" t="s" s="9">
        <v>19</v>
      </c>
      <c r="B20" s="12">
        <f>'Data'!I18+'Data'!I19-B11</f>
        <v>189234.75</v>
      </c>
      <c r="C20" s="13">
        <f>B20-C11</f>
        <v>190027.5</v>
      </c>
      <c r="D20" s="13">
        <f>C20-D11</f>
        <v>190820.25</v>
      </c>
      <c r="E20" s="13">
        <f>D20-E11</f>
        <v>191613</v>
      </c>
    </row>
    <row r="21" ht="20.05" customHeight="1">
      <c r="A21" t="s" s="9">
        <v>20</v>
      </c>
      <c r="B21" s="12">
        <f>'Data'!I19-B8</f>
        <v>1045</v>
      </c>
      <c r="C21" s="13">
        <f>B21-C8</f>
        <v>1254</v>
      </c>
      <c r="D21" s="13">
        <f>C21-D8</f>
        <v>1463</v>
      </c>
      <c r="E21" s="13">
        <f>D21-E8</f>
        <v>1672</v>
      </c>
    </row>
    <row r="22" ht="20.05" customHeight="1">
      <c r="A22" t="s" s="9">
        <v>21</v>
      </c>
      <c r="B22" s="12">
        <f>B20-B21</f>
        <v>188189.75</v>
      </c>
      <c r="C22" s="13">
        <f>C20-C21</f>
        <v>188773.5</v>
      </c>
      <c r="D22" s="13">
        <f>D20-D21</f>
        <v>189357.25</v>
      </c>
      <c r="E22" s="13">
        <f>E20-E21</f>
        <v>189941</v>
      </c>
    </row>
    <row r="23" ht="20.05" customHeight="1">
      <c r="A23" t="s" s="9">
        <v>11</v>
      </c>
      <c r="B23" s="12">
        <f>'Data'!I20+B12</f>
        <v>105068.1</v>
      </c>
      <c r="C23" s="13">
        <f>B23+C12</f>
        <v>99814.695000000007</v>
      </c>
      <c r="D23" s="13">
        <f>C23+D12</f>
        <v>94823.96025</v>
      </c>
      <c r="E23" s="13">
        <f>D23+E12</f>
        <v>90082.762237500006</v>
      </c>
    </row>
    <row r="24" ht="20.05" customHeight="1">
      <c r="A24" t="s" s="9">
        <v>22</v>
      </c>
      <c r="B24" s="12">
        <f>B15</f>
        <v>4377.794867991870</v>
      </c>
      <c r="C24" s="13">
        <f>B24+C15</f>
        <v>8516.737838623891</v>
      </c>
      <c r="D24" s="13">
        <f>C24+D15</f>
        <v>12282.3398374938</v>
      </c>
      <c r="E24" s="13">
        <f>D24+E15</f>
        <v>15700.6459613072</v>
      </c>
    </row>
    <row r="25" ht="20.05" customHeight="1">
      <c r="A25" t="s" s="9">
        <v>12</v>
      </c>
      <c r="B25" s="12">
        <f>'Data'!I21+B9+B13</f>
        <v>94746.8551320081</v>
      </c>
      <c r="C25" s="13">
        <f>B25+C9+C13</f>
        <v>96445.067161376093</v>
      </c>
      <c r="D25" s="13">
        <f>C25+D9+D13</f>
        <v>98253.9499125062</v>
      </c>
      <c r="E25" s="13">
        <f>D25+E9+E13</f>
        <v>100160.591801193</v>
      </c>
    </row>
    <row r="26" ht="20.05" customHeight="1">
      <c r="A26" t="s" s="9">
        <v>23</v>
      </c>
      <c r="B26" s="12">
        <f>B23+B24+B25-B18-B22</f>
        <v>-3e-11</v>
      </c>
      <c r="C26" s="13">
        <f>C23+C24+C25-C18-C22</f>
        <v>-9.999999999999999e-12</v>
      </c>
      <c r="D26" s="13">
        <f>D23+D24+D25-D18-D22</f>
        <v>0</v>
      </c>
      <c r="E26" s="13">
        <f>E23+E24+E25-E18-E22</f>
        <v>2e-10</v>
      </c>
    </row>
    <row r="27" ht="20.05" customHeight="1">
      <c r="A27" t="s" s="9">
        <v>24</v>
      </c>
      <c r="B27" s="12">
        <f>B18-B23-B24</f>
        <v>-93442.8948679919</v>
      </c>
      <c r="C27" s="13">
        <f>C18-C23-C24</f>
        <v>-92328.432838623907</v>
      </c>
      <c r="D27" s="13">
        <f>D18-D23-D24</f>
        <v>-91103.3000874938</v>
      </c>
      <c r="E27" s="13">
        <f>E18-E23-E24</f>
        <v>-89780.4081988072</v>
      </c>
    </row>
    <row r="28" ht="20.05" customHeight="1">
      <c r="A28" t="s" s="16">
        <v>25</v>
      </c>
      <c r="B28" s="12"/>
      <c r="C28" s="13"/>
      <c r="D28" s="13"/>
      <c r="E28" s="13"/>
    </row>
    <row r="29" ht="20.05" customHeight="1">
      <c r="A29" t="s" s="9">
        <v>26</v>
      </c>
      <c r="B29" s="12">
        <f>'Data'!I27-(B12+B13)</f>
        <v>76745.8379137178</v>
      </c>
      <c r="C29" s="13">
        <f>B29-(C12+C13)</f>
        <v>82727.0480691612</v>
      </c>
      <c r="D29" s="13">
        <f>C29-(D12+D13)</f>
        <v>88493.0182839312</v>
      </c>
      <c r="E29" s="13">
        <f>D29-(E12+E13)</f>
        <v>94051.3485344397</v>
      </c>
    </row>
    <row r="30" ht="20.05" customHeight="1">
      <c r="A30" t="s" s="9">
        <v>27</v>
      </c>
      <c r="B30" s="12"/>
      <c r="C30" s="13"/>
      <c r="D30" s="13"/>
      <c r="E30" s="13">
        <v>284900</v>
      </c>
    </row>
    <row r="31" ht="20.05" customHeight="1">
      <c r="A31" t="s" s="9">
        <v>28</v>
      </c>
      <c r="B31" s="12"/>
      <c r="C31" s="13"/>
      <c r="D31" s="13"/>
      <c r="E31" s="17">
        <f>E30/(E18+E22)</f>
        <v>1.38338577477372</v>
      </c>
    </row>
    <row r="32" ht="20.05" customHeight="1">
      <c r="A32" t="s" s="9">
        <v>29</v>
      </c>
      <c r="B32" s="12"/>
      <c r="C32" s="13"/>
      <c r="D32" s="13"/>
      <c r="E32" s="18">
        <f>-(B13+C13+D13+E13)/E30</f>
        <v>0.0107550395645481</v>
      </c>
    </row>
    <row r="33" ht="20.05" customHeight="1">
      <c r="A33" t="s" s="9">
        <v>2</v>
      </c>
      <c r="B33" s="12"/>
      <c r="C33" s="13"/>
      <c r="D33" s="13"/>
      <c r="E33" s="13">
        <f>SUM(B10:E11)</f>
        <v>7878.7025731325</v>
      </c>
    </row>
    <row r="34" ht="20.05" customHeight="1">
      <c r="A34" t="s" s="9">
        <v>30</v>
      </c>
      <c r="B34" s="12"/>
      <c r="C34" s="13"/>
      <c r="D34" s="13"/>
      <c r="E34" s="13">
        <f>'Data'!I18/E33</f>
        <v>23.8117885855678</v>
      </c>
    </row>
    <row r="35" ht="20.05" customHeight="1">
      <c r="A35" t="s" s="9">
        <v>25</v>
      </c>
      <c r="B35" s="12"/>
      <c r="C35" s="13"/>
      <c r="D35" s="13"/>
      <c r="E35" s="13">
        <f>E30/E33</f>
        <v>36.1607761373744</v>
      </c>
    </row>
    <row r="36" ht="20.05" customHeight="1">
      <c r="A36" t="s" s="9">
        <v>31</v>
      </c>
      <c r="B36" s="12"/>
      <c r="C36" s="13"/>
      <c r="D36" s="13"/>
      <c r="E36" s="13">
        <v>40</v>
      </c>
    </row>
    <row r="37" ht="20.05" customHeight="1">
      <c r="A37" t="s" s="9">
        <v>32</v>
      </c>
      <c r="B37" s="12"/>
      <c r="C37" s="13"/>
      <c r="D37" s="13"/>
      <c r="E37" s="13">
        <f>E30/E39</f>
        <v>1817.427915284510</v>
      </c>
    </row>
    <row r="38" ht="20.05" customHeight="1">
      <c r="A38" t="s" s="9">
        <v>33</v>
      </c>
      <c r="B38" s="12"/>
      <c r="C38" s="13"/>
      <c r="D38" s="13"/>
      <c r="E38" s="13">
        <f>(E33*E36)/E37</f>
        <v>173.403357720499</v>
      </c>
    </row>
    <row r="39" ht="20.05" customHeight="1">
      <c r="A39" t="s" s="9">
        <v>34</v>
      </c>
      <c r="B39" s="12"/>
      <c r="C39" s="13"/>
      <c r="D39" s="13"/>
      <c r="E39" s="13">
        <f>'Data'!K28</f>
        <v>156.76</v>
      </c>
    </row>
    <row r="40" ht="20.05" customHeight="1">
      <c r="A40" t="s" s="9">
        <v>35</v>
      </c>
      <c r="B40" s="12"/>
      <c r="C40" s="13"/>
      <c r="D40" s="13"/>
      <c r="E40" s="15">
        <f>E38/E39-1</f>
        <v>0.106170947438754</v>
      </c>
    </row>
    <row r="41" ht="20.05" customHeight="1">
      <c r="A41" t="s" s="9">
        <v>36</v>
      </c>
      <c r="B41" s="12"/>
      <c r="C41" s="13"/>
      <c r="D41" s="13"/>
      <c r="E41" s="15">
        <f>'Data'!I4/'Data'!E4-1</f>
        <v>0.260216223567009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M29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4.4375" style="19" customWidth="1"/>
    <col min="2" max="13" width="10.1094" style="19" customWidth="1"/>
    <col min="14" max="16384" width="16.3516" style="19" customWidth="1"/>
  </cols>
  <sheetData>
    <row r="1" ht="27.65" customHeight="1">
      <c r="A1" t="s" s="2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.25" customHeight="1">
      <c r="A2" s="4"/>
      <c r="B2" s="4"/>
      <c r="C2" s="20">
        <v>2020</v>
      </c>
      <c r="D2" s="4"/>
      <c r="E2" s="4"/>
      <c r="F2" s="4"/>
      <c r="G2" s="20">
        <v>2021</v>
      </c>
      <c r="H2" s="4"/>
      <c r="I2" s="4"/>
      <c r="J2" s="4"/>
      <c r="K2" s="20">
        <v>2022</v>
      </c>
      <c r="L2" s="4"/>
      <c r="M2" s="4"/>
    </row>
    <row r="3" ht="20.25" customHeight="1">
      <c r="A3" s="21"/>
      <c r="B3" s="22"/>
      <c r="C3" s="7"/>
      <c r="D3" s="23">
        <f>D4/C4-1</f>
        <v>-0.346518723994452</v>
      </c>
      <c r="E3" s="23">
        <f>E4/D4-1</f>
        <v>0.248577977757025</v>
      </c>
      <c r="F3" s="23">
        <f>F4/E4-1</f>
        <v>0.104848031549602</v>
      </c>
      <c r="G3" s="23">
        <f>G4/F4-1</f>
        <v>-0.0391408702073974</v>
      </c>
      <c r="H3" s="23">
        <f>H4/G4-1</f>
        <v>0.0902453083968488</v>
      </c>
      <c r="I3" s="23">
        <f>I4/H4-1</f>
        <v>0.0888262248854424</v>
      </c>
      <c r="J3" s="23"/>
      <c r="K3" s="23"/>
      <c r="L3" s="23"/>
      <c r="M3" s="23"/>
    </row>
    <row r="4" ht="20.05" customHeight="1">
      <c r="A4" t="s" s="16">
        <v>4</v>
      </c>
      <c r="B4" s="12">
        <v>20877</v>
      </c>
      <c r="C4" s="13">
        <v>18025</v>
      </c>
      <c r="D4" s="13">
        <v>11779</v>
      </c>
      <c r="E4" s="13">
        <v>14707</v>
      </c>
      <c r="F4" s="13">
        <v>16249</v>
      </c>
      <c r="G4" s="13">
        <v>15613</v>
      </c>
      <c r="H4" s="13">
        <v>17022</v>
      </c>
      <c r="I4" s="13">
        <v>18534</v>
      </c>
      <c r="J4" s="13"/>
      <c r="K4" s="13"/>
      <c r="L4" s="13"/>
      <c r="M4" s="13"/>
    </row>
    <row r="5" ht="20.05" customHeight="1">
      <c r="A5" t="s" s="16">
        <v>31</v>
      </c>
      <c r="B5" s="12"/>
      <c r="C5" s="13"/>
      <c r="D5" s="13"/>
      <c r="E5" s="13"/>
      <c r="F5" s="13"/>
      <c r="G5" s="13"/>
      <c r="H5" s="13"/>
      <c r="I5" s="13"/>
      <c r="J5" s="13">
        <f>'Model'!B5</f>
        <v>20387.4</v>
      </c>
      <c r="K5" s="13">
        <f>'Model'!C5</f>
        <v>19979.652</v>
      </c>
      <c r="L5" s="13">
        <f>'Model'!D5</f>
        <v>21178.43112</v>
      </c>
      <c r="M5" s="13">
        <f>'Model'!E5</f>
        <v>22237.352676</v>
      </c>
    </row>
    <row r="6" ht="20.05" customHeight="1">
      <c r="A6" t="s" s="16">
        <v>8</v>
      </c>
      <c r="B6" s="12"/>
      <c r="C6" s="13"/>
      <c r="D6" s="13"/>
      <c r="E6" s="13"/>
      <c r="F6" s="13">
        <v>30</v>
      </c>
      <c r="G6" s="13">
        <f>1152-F6</f>
        <v>1122</v>
      </c>
      <c r="H6" s="13">
        <f>2280-G6-F6</f>
        <v>1128</v>
      </c>
      <c r="I6" s="13">
        <f>2536-H6-G6-F6</f>
        <v>256</v>
      </c>
      <c r="J6" s="13"/>
      <c r="K6" s="13"/>
      <c r="L6" s="13"/>
      <c r="M6" s="13"/>
    </row>
    <row r="7" ht="20.05" customHeight="1">
      <c r="A7" t="s" s="16">
        <v>7</v>
      </c>
      <c r="B7" s="12"/>
      <c r="C7" s="13"/>
      <c r="D7" s="13"/>
      <c r="E7" s="13"/>
      <c r="F7" s="13">
        <f>1298-80-105-224+193+771+36+134+90</f>
        <v>2113</v>
      </c>
      <c r="G7" s="13">
        <f>689-F7</f>
        <v>-1424</v>
      </c>
      <c r="H7" s="13">
        <f>751-G7-F7</f>
        <v>62</v>
      </c>
      <c r="I7" s="13">
        <f>836-H7-G7-F7</f>
        <v>85</v>
      </c>
      <c r="J7" s="13"/>
      <c r="K7" s="13"/>
      <c r="L7" s="13"/>
      <c r="M7" s="13"/>
    </row>
    <row r="8" ht="20.05" customHeight="1">
      <c r="A8" t="s" s="16">
        <v>38</v>
      </c>
      <c r="B8" s="24"/>
      <c r="C8" s="25"/>
      <c r="D8" s="25"/>
      <c r="E8" s="25"/>
      <c r="F8" s="13">
        <f>F9-F7-F6</f>
        <v>-2068</v>
      </c>
      <c r="G8" s="13">
        <f>G9-G7-G6</f>
        <v>1695</v>
      </c>
      <c r="H8" s="13">
        <f>H9-H7-H6</f>
        <v>276</v>
      </c>
      <c r="I8" s="13">
        <f>I9-I7-I6</f>
        <v>2291</v>
      </c>
      <c r="J8" s="13"/>
      <c r="K8" s="13"/>
      <c r="L8" s="13"/>
      <c r="M8" s="13"/>
    </row>
    <row r="9" ht="20.05" customHeight="1">
      <c r="A9" t="s" s="16">
        <v>9</v>
      </c>
      <c r="B9" s="24"/>
      <c r="C9" s="25"/>
      <c r="D9" s="25"/>
      <c r="E9" s="25"/>
      <c r="F9" s="13">
        <v>75</v>
      </c>
      <c r="G9" s="13">
        <f>1468-F9</f>
        <v>1393</v>
      </c>
      <c r="H9" s="13">
        <f>2934-G9-F9</f>
        <v>1466</v>
      </c>
      <c r="I9" s="13">
        <f>5566-H9-G9-F9</f>
        <v>2632</v>
      </c>
      <c r="J9" s="13"/>
      <c r="K9" s="13"/>
      <c r="L9" s="13"/>
      <c r="M9" s="13"/>
    </row>
    <row r="10" ht="20.05" customHeight="1">
      <c r="A10" t="s" s="16">
        <v>10</v>
      </c>
      <c r="B10" s="24"/>
      <c r="C10" s="25"/>
      <c r="D10" s="25"/>
      <c r="E10" s="25"/>
      <c r="F10" s="13">
        <v>-732</v>
      </c>
      <c r="G10" s="13">
        <f>-1327-F10</f>
        <v>-595</v>
      </c>
      <c r="H10" s="13">
        <f>-2085-G10-F10</f>
        <v>-758</v>
      </c>
      <c r="I10" s="13">
        <f>-3171-H10-G10-F10</f>
        <v>-1086</v>
      </c>
      <c r="J10" s="13"/>
      <c r="K10" s="13"/>
      <c r="L10" s="13"/>
      <c r="M10" s="13"/>
    </row>
    <row r="11" ht="20.05" customHeight="1">
      <c r="A11" t="s" s="16">
        <v>11</v>
      </c>
      <c r="B11" s="24"/>
      <c r="C11" s="25"/>
      <c r="D11" s="25"/>
      <c r="E11" s="25"/>
      <c r="F11" s="13">
        <f>-179+1-139</f>
        <v>-317</v>
      </c>
      <c r="G11" s="13">
        <f>-87+37-1816-F11</f>
        <v>-1549</v>
      </c>
      <c r="H11" s="13">
        <f>-99+43-2319-G11-F11</f>
        <v>-509</v>
      </c>
      <c r="I11" s="13">
        <f>-26+64-3737-H11-G11-F11</f>
        <v>-1324</v>
      </c>
      <c r="J11" s="13"/>
      <c r="K11" s="13"/>
      <c r="L11" s="13"/>
      <c r="M11" s="13"/>
    </row>
    <row r="12" ht="20.05" customHeight="1">
      <c r="A12" t="s" s="16">
        <v>12</v>
      </c>
      <c r="B12" s="24"/>
      <c r="C12" s="25"/>
      <c r="D12" s="25"/>
      <c r="E12" s="25"/>
      <c r="F12" s="13">
        <f>209-225</f>
        <v>-16</v>
      </c>
      <c r="G12" s="13">
        <f>394-769-F12</f>
        <v>-359</v>
      </c>
      <c r="H12" s="13">
        <f>405-801-G12-F12</f>
        <v>-21</v>
      </c>
      <c r="I12" s="13">
        <f>435+91-350-862-H12-G12-F12</f>
        <v>-290</v>
      </c>
      <c r="J12" s="13"/>
      <c r="K12" s="13"/>
      <c r="L12" s="13"/>
      <c r="M12" s="13"/>
    </row>
    <row r="13" ht="20.05" customHeight="1">
      <c r="A13" t="s" s="16">
        <v>39</v>
      </c>
      <c r="B13" s="24"/>
      <c r="C13" s="25"/>
      <c r="D13" s="25"/>
      <c r="E13" s="25"/>
      <c r="F13" s="13">
        <v>17954</v>
      </c>
      <c r="G13" s="13">
        <f>F16</f>
        <v>17112</v>
      </c>
      <c r="H13" s="13">
        <f>G16</f>
        <v>15932</v>
      </c>
      <c r="I13" s="13">
        <f>H16</f>
        <v>16115</v>
      </c>
      <c r="J13" s="13"/>
      <c r="K13" s="13"/>
      <c r="L13" s="13"/>
      <c r="M13" s="13"/>
    </row>
    <row r="14" ht="20.05" customHeight="1">
      <c r="A14" t="s" s="16">
        <v>40</v>
      </c>
      <c r="B14" s="24"/>
      <c r="C14" s="25"/>
      <c r="D14" s="25"/>
      <c r="E14" s="25"/>
      <c r="F14" s="13">
        <f>9+139</f>
        <v>148</v>
      </c>
      <c r="G14" s="13">
        <f>78-F14</f>
        <v>-70</v>
      </c>
      <c r="H14" s="13">
        <f>83-G14-F14</f>
        <v>5</v>
      </c>
      <c r="I14" s="13">
        <f>39-H14-G14-F14</f>
        <v>-44</v>
      </c>
      <c r="J14" s="13"/>
      <c r="K14" s="13"/>
      <c r="L14" s="13"/>
      <c r="M14" s="13"/>
    </row>
    <row r="15" ht="20.05" customHeight="1">
      <c r="A15" t="s" s="16">
        <v>16</v>
      </c>
      <c r="B15" s="24"/>
      <c r="C15" s="25"/>
      <c r="D15" s="25"/>
      <c r="E15" s="25"/>
      <c r="F15" s="13">
        <f>F9+F10+F11+F12+F14</f>
        <v>-842</v>
      </c>
      <c r="G15" s="13">
        <f>G9+G10+G11+G12+G14</f>
        <v>-1180</v>
      </c>
      <c r="H15" s="13">
        <f>H9+H10+H11+H12+H14</f>
        <v>183</v>
      </c>
      <c r="I15" s="13">
        <f>I9+I10+I11+I12+I14</f>
        <v>-112</v>
      </c>
      <c r="J15" s="13"/>
      <c r="K15" s="13"/>
      <c r="L15" s="13"/>
      <c r="M15" s="13"/>
    </row>
    <row r="16" ht="20.05" customHeight="1">
      <c r="A16" t="s" s="16">
        <v>41</v>
      </c>
      <c r="B16" s="24"/>
      <c r="C16" s="25"/>
      <c r="D16" s="25"/>
      <c r="E16" s="25"/>
      <c r="F16" s="13">
        <f>F13+F15</f>
        <v>17112</v>
      </c>
      <c r="G16" s="13">
        <f>G13+G15</f>
        <v>15932</v>
      </c>
      <c r="H16" s="13">
        <f>H13+H15</f>
        <v>16115</v>
      </c>
      <c r="I16" s="13">
        <f>I13+I15</f>
        <v>16003</v>
      </c>
      <c r="J16" s="13"/>
      <c r="K16" s="13"/>
      <c r="L16" s="13"/>
      <c r="M16" s="13"/>
    </row>
    <row r="17" ht="20.05" customHeight="1">
      <c r="A17" t="s" s="16">
        <v>42</v>
      </c>
      <c r="B17" s="24"/>
      <c r="C17" s="25"/>
      <c r="D17" s="25"/>
      <c r="E17" s="25"/>
      <c r="F17" s="13">
        <v>201888</v>
      </c>
      <c r="G17" s="13">
        <v>200250</v>
      </c>
      <c r="H17" s="13">
        <v>202221</v>
      </c>
      <c r="I17" s="13">
        <v>203609</v>
      </c>
      <c r="J17" s="13"/>
      <c r="K17" s="13"/>
      <c r="L17" s="13"/>
      <c r="M17" s="13"/>
    </row>
    <row r="18" ht="20.05" customHeight="1">
      <c r="A18" t="s" s="16">
        <v>19</v>
      </c>
      <c r="B18" s="24"/>
      <c r="C18" s="25"/>
      <c r="D18" s="25"/>
      <c r="E18" s="25"/>
      <c r="F18" s="13">
        <f>F17-F16</f>
        <v>184776</v>
      </c>
      <c r="G18" s="13">
        <f>G17-G16</f>
        <v>184318</v>
      </c>
      <c r="H18" s="13">
        <f>H17-H16</f>
        <v>186106</v>
      </c>
      <c r="I18" s="13">
        <f>I17-I16</f>
        <v>187606</v>
      </c>
      <c r="J18" s="13"/>
      <c r="K18" s="13"/>
      <c r="L18" s="13"/>
      <c r="M18" s="13"/>
    </row>
    <row r="19" ht="20.05" customHeight="1">
      <c r="A19" t="s" s="16">
        <v>20</v>
      </c>
      <c r="B19" s="24"/>
      <c r="C19" s="25"/>
      <c r="D19" s="25"/>
      <c r="E19" s="25"/>
      <c r="F19" s="13">
        <f>F7</f>
        <v>2113</v>
      </c>
      <c r="G19" s="13">
        <f>F19+G7</f>
        <v>689</v>
      </c>
      <c r="H19" s="13">
        <f>G19+H7</f>
        <v>751</v>
      </c>
      <c r="I19" s="13">
        <f>H19+I7</f>
        <v>836</v>
      </c>
      <c r="J19" s="13"/>
      <c r="K19" s="13"/>
      <c r="L19" s="13"/>
      <c r="M19" s="13"/>
    </row>
    <row r="20" ht="20.05" customHeight="1">
      <c r="A20" t="s" s="16">
        <v>11</v>
      </c>
      <c r="B20" s="24"/>
      <c r="C20" s="25"/>
      <c r="D20" s="25"/>
      <c r="E20" s="25"/>
      <c r="F20" s="13">
        <v>113160</v>
      </c>
      <c r="G20" s="26">
        <v>110464</v>
      </c>
      <c r="H20" s="26">
        <v>111099</v>
      </c>
      <c r="I20" s="13">
        <v>110598</v>
      </c>
      <c r="J20" s="13"/>
      <c r="K20" s="13"/>
      <c r="L20" s="13"/>
      <c r="M20" s="13"/>
    </row>
    <row r="21" ht="20.05" customHeight="1">
      <c r="A21" t="s" s="16">
        <v>12</v>
      </c>
      <c r="B21" s="24"/>
      <c r="C21" s="25"/>
      <c r="D21" s="25"/>
      <c r="E21" s="25"/>
      <c r="F21" s="13">
        <v>88728</v>
      </c>
      <c r="G21" s="13">
        <v>89786</v>
      </c>
      <c r="H21" s="13">
        <v>91122</v>
      </c>
      <c r="I21" s="13">
        <v>93011</v>
      </c>
      <c r="J21" s="13"/>
      <c r="K21" s="13"/>
      <c r="L21" s="13"/>
      <c r="M21" s="13"/>
    </row>
    <row r="22" ht="20.05" customHeight="1">
      <c r="A22" t="s" s="16">
        <v>23</v>
      </c>
      <c r="B22" s="24"/>
      <c r="C22" s="25"/>
      <c r="D22" s="25"/>
      <c r="E22" s="25"/>
      <c r="F22" s="13">
        <f>F20+F21-F16-F18</f>
        <v>0</v>
      </c>
      <c r="G22" s="13">
        <f>G20+G21-G16-G18</f>
        <v>0</v>
      </c>
      <c r="H22" s="13">
        <f>H20+H21-H16-H18</f>
        <v>0</v>
      </c>
      <c r="I22" s="13">
        <f>I20+I21-I16-I18</f>
        <v>0</v>
      </c>
      <c r="J22" s="13"/>
      <c r="K22" s="13"/>
      <c r="L22" s="13"/>
      <c r="M22" s="13"/>
    </row>
    <row r="23" ht="20.05" customHeight="1">
      <c r="A23" t="s" s="16">
        <v>43</v>
      </c>
      <c r="B23" s="24"/>
      <c r="C23" s="25"/>
      <c r="D23" s="25"/>
      <c r="E23" s="25"/>
      <c r="F23" s="13">
        <f>F16-F20</f>
        <v>-96048</v>
      </c>
      <c r="G23" s="13">
        <f>G16-G20</f>
        <v>-94532</v>
      </c>
      <c r="H23" s="13">
        <f>H16-H20</f>
        <v>-94984</v>
      </c>
      <c r="I23" s="13">
        <f>I16-I20</f>
        <v>-94595</v>
      </c>
      <c r="J23" s="15"/>
      <c r="K23" s="15"/>
      <c r="L23" s="15"/>
      <c r="M23" s="15"/>
    </row>
    <row r="24" ht="20.05" customHeight="1">
      <c r="A24" t="s" s="16">
        <v>31</v>
      </c>
      <c r="B24" s="24"/>
      <c r="C24" s="25"/>
      <c r="D24" s="25"/>
      <c r="E24" s="25"/>
      <c r="F24" s="15"/>
      <c r="G24" s="15"/>
      <c r="H24" s="15"/>
      <c r="I24" s="13">
        <f>I23</f>
        <v>-94595</v>
      </c>
      <c r="J24" s="13">
        <f>'Model'!E27</f>
        <v>-89780.4081988072</v>
      </c>
      <c r="K24" s="15"/>
      <c r="L24" s="15"/>
      <c r="M24" s="15"/>
    </row>
    <row r="25" ht="20.05" customHeight="1">
      <c r="A25" t="s" s="16">
        <v>5</v>
      </c>
      <c r="B25" s="24"/>
      <c r="C25" s="25"/>
      <c r="D25" s="25"/>
      <c r="E25" s="25"/>
      <c r="F25" s="15">
        <f>(F6+F7-F4)/F4</f>
        <v>-0.868114960920672</v>
      </c>
      <c r="G25" s="15">
        <f>(G6+G7-G4)/G4</f>
        <v>-1.01934285531288</v>
      </c>
      <c r="H25" s="15">
        <f>(H6+H7-H4)/H4</f>
        <v>-0.930090471154976</v>
      </c>
      <c r="I25" s="15">
        <f>(I6+I7-I4)/I4</f>
        <v>-0.981601381245279</v>
      </c>
      <c r="J25" s="15">
        <f>'Model'!B6</f>
        <v>-0.868114960920672</v>
      </c>
      <c r="K25" s="15"/>
      <c r="L25" s="15"/>
      <c r="M25" s="15"/>
    </row>
    <row r="26" ht="20.05" customHeight="1">
      <c r="A26" t="s" s="16">
        <v>2</v>
      </c>
      <c r="B26" s="24"/>
      <c r="C26" s="25"/>
      <c r="D26" s="25"/>
      <c r="E26" s="25"/>
      <c r="F26" s="13">
        <f>F9+F10</f>
        <v>-657</v>
      </c>
      <c r="G26" s="13">
        <f>G9+G10</f>
        <v>798</v>
      </c>
      <c r="H26" s="13">
        <f>H9+H10</f>
        <v>708</v>
      </c>
      <c r="I26" s="13">
        <f>I9+I10</f>
        <v>1546</v>
      </c>
      <c r="J26" s="13">
        <f>SUM('Model'!E10:E11)</f>
        <v>2140.0241266951</v>
      </c>
      <c r="K26" s="13"/>
      <c r="L26" s="13"/>
      <c r="M26" s="13"/>
    </row>
    <row r="27" ht="20.05" customHeight="1">
      <c r="A27" t="s" s="16">
        <v>44</v>
      </c>
      <c r="B27" s="24"/>
      <c r="C27" s="25"/>
      <c r="D27" s="25"/>
      <c r="E27" s="25"/>
      <c r="F27" s="13">
        <f>-'Capital'!F27-(F11+F12)</f>
        <v>66420</v>
      </c>
      <c r="G27" s="13">
        <f>F27-(G11+G12)</f>
        <v>68328</v>
      </c>
      <c r="H27" s="13">
        <f>G27-(H11+H12)</f>
        <v>68858</v>
      </c>
      <c r="I27" s="13">
        <f>H27-(I11+I12)</f>
        <v>70472</v>
      </c>
      <c r="J27" s="13">
        <f>'Model'!E29</f>
        <v>94051.3485344397</v>
      </c>
      <c r="K27" s="25"/>
      <c r="L27" s="25"/>
      <c r="M27" s="25"/>
    </row>
    <row r="28" ht="20.05" customHeight="1">
      <c r="A28" t="s" s="16">
        <v>45</v>
      </c>
      <c r="B28" s="27">
        <v>145.65</v>
      </c>
      <c r="C28" s="28">
        <v>96.97</v>
      </c>
      <c r="D28" s="28">
        <v>112.18</v>
      </c>
      <c r="E28" s="28">
        <v>125.4</v>
      </c>
      <c r="F28" s="13">
        <v>177.68</v>
      </c>
      <c r="G28" s="28">
        <v>194.54</v>
      </c>
      <c r="H28" s="28">
        <v>173.93</v>
      </c>
      <c r="I28" s="28">
        <v>172.68</v>
      </c>
      <c r="J28" s="28">
        <v>154.89</v>
      </c>
      <c r="K28" s="28">
        <v>156.76</v>
      </c>
      <c r="L28" s="28"/>
      <c r="M28" s="28"/>
    </row>
    <row r="29" ht="20.05" customHeight="1">
      <c r="A29" t="s" s="16">
        <v>33</v>
      </c>
      <c r="B29" s="27"/>
      <c r="C29" s="28"/>
      <c r="D29" s="28"/>
      <c r="E29" s="28"/>
      <c r="F29" s="13"/>
      <c r="G29" s="28"/>
      <c r="H29" s="28"/>
      <c r="I29" s="28"/>
      <c r="J29" s="28"/>
      <c r="K29" s="28">
        <f>K28</f>
        <v>156.76</v>
      </c>
      <c r="L29" s="13">
        <f>'Model'!E38</f>
        <v>173.403357720499</v>
      </c>
      <c r="M29" s="28"/>
    </row>
  </sheetData>
  <mergeCells count="1">
    <mergeCell ref="A1:M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" style="29" customWidth="1"/>
    <col min="2" max="6" width="13.7188" style="29" customWidth="1"/>
    <col min="7" max="16384" width="16.3516" style="29" customWidth="1"/>
  </cols>
  <sheetData>
    <row r="1" ht="19.2" customHeight="1"/>
    <row r="2" ht="27.65" customHeight="1">
      <c r="B2" t="s" s="2">
        <v>44</v>
      </c>
      <c r="C2" s="2"/>
      <c r="D2" s="2"/>
      <c r="E2" s="2"/>
      <c r="F2" s="2"/>
    </row>
    <row r="3" ht="20.25" customHeight="1">
      <c r="B3" s="30"/>
      <c r="C3" t="s" s="31">
        <v>11</v>
      </c>
      <c r="D3" t="s" s="31">
        <v>12</v>
      </c>
      <c r="E3" t="s" s="31">
        <v>46</v>
      </c>
      <c r="F3" t="s" s="31">
        <v>46</v>
      </c>
    </row>
    <row r="4" ht="20.25" customHeight="1">
      <c r="B4" s="32">
        <v>1997</v>
      </c>
      <c r="C4" s="33">
        <f>-2088+2437-1990</f>
        <v>-1641</v>
      </c>
      <c r="D4" s="34">
        <f>-633+180-342+1312</f>
        <v>517</v>
      </c>
      <c r="E4" s="34">
        <f>SUM(C4:D4)</f>
        <v>-1124</v>
      </c>
      <c r="F4" s="34">
        <f>E4</f>
        <v>-1124</v>
      </c>
    </row>
    <row r="5" ht="20.05" customHeight="1">
      <c r="B5" s="35">
        <v>1998</v>
      </c>
      <c r="C5" s="12">
        <f>308+1522-1212</f>
        <v>618</v>
      </c>
      <c r="D5" s="13">
        <f>-30+184-412</f>
        <v>-258</v>
      </c>
      <c r="E5" s="13">
        <f>SUM(C5:D5)</f>
        <v>360</v>
      </c>
      <c r="F5" s="13">
        <f>E5+F4</f>
        <v>-764</v>
      </c>
    </row>
    <row r="6" ht="20.05" customHeight="1">
      <c r="B6" s="35">
        <v>1999</v>
      </c>
      <c r="C6" s="12">
        <f>-451+2306</f>
        <v>1855</v>
      </c>
      <c r="D6" s="13">
        <f>-19+204</f>
        <v>185</v>
      </c>
      <c r="E6" s="13">
        <f>SUM(C6:D6)</f>
        <v>2040</v>
      </c>
      <c r="F6" s="13">
        <f>E6+F5</f>
        <v>1276</v>
      </c>
    </row>
    <row r="7" ht="20.05" customHeight="1">
      <c r="B7" s="35">
        <v>2000</v>
      </c>
      <c r="C7" s="12">
        <f>1117-2494-741</f>
        <v>-2118</v>
      </c>
      <c r="D7" s="13">
        <f>482-166-434</f>
        <v>-118</v>
      </c>
      <c r="E7" s="13">
        <f>SUM(C7:D7)</f>
        <v>-2236</v>
      </c>
      <c r="F7" s="13">
        <f>E7+F6</f>
        <v>-960</v>
      </c>
    </row>
    <row r="8" ht="20.05" customHeight="1">
      <c r="B8" s="35">
        <v>2001</v>
      </c>
      <c r="C8" s="12">
        <f>3070-2807-186</f>
        <v>77</v>
      </c>
      <c r="D8" s="13">
        <f>177-1073-438</f>
        <v>-1334</v>
      </c>
      <c r="E8" s="13">
        <f>SUM(C8:D8)</f>
        <v>-1257</v>
      </c>
      <c r="F8" s="13">
        <f>E8+F7</f>
        <v>-2217</v>
      </c>
    </row>
    <row r="9" ht="20.05" customHeight="1">
      <c r="B9" s="35">
        <v>2002</v>
      </c>
      <c r="C9" s="12">
        <f>4038-2114-33</f>
        <v>1891</v>
      </c>
      <c r="D9" s="13">
        <f>47-428</f>
        <v>-381</v>
      </c>
      <c r="E9" s="13">
        <f>SUM(C9:D9)</f>
        <v>1510</v>
      </c>
      <c r="F9" s="13">
        <f>E9+F8</f>
        <v>-707</v>
      </c>
    </row>
    <row r="10" ht="20.05" customHeight="1">
      <c r="B10" s="35">
        <v>2003</v>
      </c>
      <c r="C10" s="12">
        <f>-721+1635-2059</f>
        <v>-1145</v>
      </c>
      <c r="D10" s="13">
        <f>-429+51</f>
        <v>-378</v>
      </c>
      <c r="E10" s="13">
        <f>SUM(C10:D10)</f>
        <v>-1523</v>
      </c>
      <c r="F10" s="13">
        <f>E10+F9</f>
        <v>-2230</v>
      </c>
    </row>
    <row r="11" ht="20.05" customHeight="1">
      <c r="B11" s="35">
        <v>2004</v>
      </c>
      <c r="C11" s="12">
        <f>100+178-2479</f>
        <v>-2201</v>
      </c>
      <c r="D11" s="13">
        <f>-335-430+66+201</f>
        <v>-498</v>
      </c>
      <c r="E11" s="13">
        <f>SUM(C11:D11)</f>
        <v>-2699</v>
      </c>
      <c r="F11" s="13">
        <f>E11+F10</f>
        <v>-4929</v>
      </c>
    </row>
    <row r="12" ht="20.05" customHeight="1">
      <c r="B12" s="35">
        <v>2005</v>
      </c>
      <c r="C12" s="12">
        <v>-499</v>
      </c>
      <c r="D12" s="13">
        <f>-2420-490+147+171+394</f>
        <v>-2198</v>
      </c>
      <c r="E12" s="13">
        <f>SUM(C12:D12)</f>
        <v>-2697</v>
      </c>
      <c r="F12" s="13">
        <f>E12+F11</f>
        <v>-7626</v>
      </c>
    </row>
    <row r="13" ht="20.05" customHeight="1">
      <c r="B13" s="35">
        <v>2006</v>
      </c>
      <c r="C13" s="12">
        <f>85+2806-1950</f>
        <v>941</v>
      </c>
      <c r="D13" s="13">
        <f>-519-6898+51+1259</f>
        <v>-6107</v>
      </c>
      <c r="E13" s="13">
        <f>SUM(C13:D13)</f>
        <v>-5166</v>
      </c>
      <c r="F13" s="13">
        <f>E13+F12</f>
        <v>-12792</v>
      </c>
    </row>
    <row r="14" ht="20.05" customHeight="1">
      <c r="B14" s="35">
        <v>2007</v>
      </c>
      <c r="C14" s="12">
        <f>1847+3143-2294</f>
        <v>2696</v>
      </c>
      <c r="D14" s="13">
        <f>-637-6923+1245</f>
        <v>-6315</v>
      </c>
      <c r="E14" s="13">
        <f>SUM(C14:D14)</f>
        <v>-3619</v>
      </c>
      <c r="F14" s="13">
        <f>E14+F13</f>
        <v>-16411</v>
      </c>
    </row>
    <row r="15" ht="20.05" customHeight="1">
      <c r="B15" s="35">
        <v>2008</v>
      </c>
      <c r="C15" s="12">
        <f>-701+1706-477</f>
        <v>528</v>
      </c>
      <c r="D15" s="13">
        <f>-664-4453+636</f>
        <v>-4481</v>
      </c>
      <c r="E15" s="13">
        <f>SUM(C15:D15)</f>
        <v>-3953</v>
      </c>
      <c r="F15" s="13">
        <f>E15+F14</f>
        <v>-20364</v>
      </c>
    </row>
    <row r="16" ht="20.05" customHeight="1">
      <c r="B16" s="35">
        <v>2009</v>
      </c>
      <c r="C16" s="12">
        <f>-1985+1750-1617</f>
        <v>-1852</v>
      </c>
      <c r="D16" s="13">
        <f>-648-138+119-592</f>
        <v>-1259</v>
      </c>
      <c r="E16" s="13">
        <f>SUM(C16:D16)</f>
        <v>-3111</v>
      </c>
      <c r="F16" s="13">
        <f>E16+F15</f>
        <v>-23475</v>
      </c>
    </row>
    <row r="17" ht="20.05" customHeight="1">
      <c r="B17" s="35">
        <v>2010</v>
      </c>
      <c r="C17" s="12">
        <f>1190-1371</f>
        <v>-181</v>
      </c>
      <c r="D17" s="13">
        <f>-653-2669+1133-293</f>
        <v>-2482</v>
      </c>
      <c r="E17" s="13">
        <f>SUM(C17:D17)</f>
        <v>-2663</v>
      </c>
      <c r="F17" s="13">
        <f>E17+F16</f>
        <v>-26138</v>
      </c>
    </row>
    <row r="18" ht="20.05" customHeight="1">
      <c r="B18" s="35">
        <v>2011</v>
      </c>
      <c r="C18" s="12">
        <f>393+2350-1096</f>
        <v>1647</v>
      </c>
      <c r="D18" s="13">
        <f>-756-4993+1128-259</f>
        <v>-4880</v>
      </c>
      <c r="E18" s="13">
        <f>SUM(C18:D18)</f>
        <v>-3233</v>
      </c>
      <c r="F18" s="13">
        <f>E18+F17</f>
        <v>-29371</v>
      </c>
    </row>
    <row r="19" ht="20.05" customHeight="1">
      <c r="B19" s="35">
        <v>2012</v>
      </c>
      <c r="C19" s="12">
        <f>467+3779-3822</f>
        <v>424</v>
      </c>
      <c r="D19" s="13">
        <f>-1076-3015+1008-326</f>
        <v>-3409</v>
      </c>
      <c r="E19" s="13">
        <f>SUM(C19:D19)</f>
        <v>-2985</v>
      </c>
      <c r="F19" s="13">
        <f>E19+F18</f>
        <v>-32356</v>
      </c>
    </row>
    <row r="20" ht="20.05" customHeight="1">
      <c r="B20" s="35">
        <v>2013</v>
      </c>
      <c r="C20" s="12">
        <f>-2050+3931-1502</f>
        <v>379</v>
      </c>
      <c r="D20" s="13">
        <f>-1324-4087+587+231</f>
        <v>-4593</v>
      </c>
      <c r="E20" s="13">
        <f>SUM(C20:D20)</f>
        <v>-4214</v>
      </c>
      <c r="F20" s="13">
        <f>E20+F19</f>
        <v>-36570</v>
      </c>
    </row>
    <row r="21" ht="20.05" customHeight="1">
      <c r="B21" s="35">
        <v>2014</v>
      </c>
      <c r="C21" s="12">
        <f>50+2231-1648</f>
        <v>633</v>
      </c>
      <c r="D21" s="13">
        <f>-1508-6527+404+288</f>
        <v>-7343</v>
      </c>
      <c r="E21" s="13">
        <f>SUM(C21:D21)</f>
        <v>-6710</v>
      </c>
      <c r="F21" s="13">
        <f>E21+F20</f>
        <v>-43280</v>
      </c>
    </row>
    <row r="22" ht="20.05" customHeight="1">
      <c r="B22" s="35">
        <v>2015</v>
      </c>
      <c r="C22" s="12">
        <f>2376+2550-2221</f>
        <v>2705</v>
      </c>
      <c r="D22" s="13">
        <f>-3063-6095+329+1012-689</f>
        <v>-8506</v>
      </c>
      <c r="E22" s="13">
        <f>SUM(C22:D22)</f>
        <v>-5801</v>
      </c>
      <c r="F22" s="13">
        <f>E22+F21</f>
        <v>-49081</v>
      </c>
    </row>
    <row r="23" ht="20.05" customHeight="1">
      <c r="B23" s="35">
        <v>2016</v>
      </c>
      <c r="C23" s="12">
        <f>-920+6065-2205</f>
        <v>2940</v>
      </c>
      <c r="D23" s="13">
        <f>-2313-7499+259-607</f>
        <v>-10160</v>
      </c>
      <c r="E23" s="13">
        <f>SUM(C23:D23)</f>
        <v>-7220</v>
      </c>
      <c r="F23" s="13">
        <f>E23+F22</f>
        <v>-56301</v>
      </c>
    </row>
    <row r="24" ht="20.05" customHeight="1">
      <c r="B24" s="35">
        <v>2017</v>
      </c>
      <c r="C24" s="12">
        <f>1247+4820-2364</f>
        <v>3703</v>
      </c>
      <c r="D24" s="13">
        <f>-2445-9368+276+17-1142</f>
        <v>-12662</v>
      </c>
      <c r="E24" s="13">
        <f>SUM(C24:D24)</f>
        <v>-8959</v>
      </c>
      <c r="F24" s="13">
        <f>E24+F23</f>
        <v>-65260</v>
      </c>
    </row>
    <row r="25" ht="20.05" customHeight="1">
      <c r="B25" s="35">
        <v>2018</v>
      </c>
      <c r="C25" s="12">
        <f>-1768+1056-1871</f>
        <v>-2583</v>
      </c>
      <c r="D25" s="13">
        <f>-2515-3577+210+399-777</f>
        <v>-6260</v>
      </c>
      <c r="E25" s="13">
        <f>SUM(C25:D25)</f>
        <v>-8843</v>
      </c>
      <c r="F25" s="13">
        <f>E25+F24</f>
        <v>-74103</v>
      </c>
    </row>
    <row r="26" ht="20.05" customHeight="1">
      <c r="B26" s="35">
        <v>2019</v>
      </c>
      <c r="C26" s="12">
        <f>4318+38240-38881</f>
        <v>3677</v>
      </c>
      <c r="D26" s="13">
        <f>-2895+318+737-1430-871</f>
        <v>-4141</v>
      </c>
      <c r="E26" s="13">
        <f>SUM(C26:D26)</f>
        <v>-464</v>
      </c>
      <c r="F26" s="13">
        <f>E26+F25</f>
        <v>-74567</v>
      </c>
    </row>
    <row r="27" ht="20.05" customHeight="1">
      <c r="B27" s="35">
        <v>2020</v>
      </c>
      <c r="C27" s="12">
        <f>-3354+18120-3533</f>
        <v>11233</v>
      </c>
      <c r="D27" s="13">
        <f>-1587+305+94-1565</f>
        <v>-2753</v>
      </c>
      <c r="E27" s="13">
        <f>SUM(C27:D27)</f>
        <v>8480</v>
      </c>
      <c r="F27" s="13">
        <f>E27+F26</f>
        <v>-66087</v>
      </c>
    </row>
    <row r="28" ht="20.05" customHeight="1">
      <c r="B28" s="35">
        <v>2021</v>
      </c>
      <c r="C28" s="12"/>
      <c r="D28" s="13"/>
      <c r="E28" s="13">
        <f>SUM(C28:D28)</f>
        <v>0</v>
      </c>
      <c r="F28" s="13">
        <f>E28+F27</f>
        <v>-66087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