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<sst xmlns="http://schemas.openxmlformats.org/spreadsheetml/2006/main" uniqueCount="53">
  <si>
    <t>Financial model</t>
  </si>
  <si>
    <t>Rpbn</t>
  </si>
  <si>
    <t>4Q 2021</t>
  </si>
  <si>
    <t>Cashflow</t>
  </si>
  <si>
    <t xml:space="preserve">Growth </t>
  </si>
  <si>
    <t>Sales</t>
  </si>
  <si>
    <t xml:space="preserve">Cost ratio </t>
  </si>
  <si>
    <t>Cash costs</t>
  </si>
  <si>
    <t xml:space="preserve">Operating </t>
  </si>
  <si>
    <t xml:space="preserve">Investment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</si>
  <si>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</si>
  <si>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</si>
  <si>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</si>
  <si>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</si>
  <si>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</si>
  <si>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</si>
  <si>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>Change</t>
  </si>
  <si>
    <t>End</t>
  </si>
  <si>
    <t xml:space="preserve">Profit </t>
  </si>
  <si>
    <t>Non cash costs</t>
  </si>
  <si>
    <t>Balance sheet</t>
  </si>
  <si>
    <t xml:space="preserve">Other assets </t>
  </si>
  <si>
    <t xml:space="preserve">Depreciation </t>
  </si>
  <si>
    <t xml:space="preserve">Net other assets 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</si>
  <si>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</si>
  <si>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</si>
  <si>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</si>
  <si>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</si>
  <si>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</si>
  <si>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</si>
  <si>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</si>
  <si>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</si>
  <si>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</si>
  <si>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</si>
  <si>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</si>
  <si>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</si>
  <si>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</si>
  <si>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</si>
  <si>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</si>
  <si>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</si>
  <si>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Gain</t>
  </si>
  <si>
    <t xml:space="preserve">Sales growth </t>
  </si>
  <si>
    <t>Cashflow costs</t>
  </si>
  <si>
    <t xml:space="preserve">Receipts </t>
  </si>
  <si>
    <t>Capex</t>
  </si>
  <si>
    <t>Free cashflow</t>
  </si>
  <si>
    <t>Cash</t>
  </si>
  <si>
    <t>Assets</t>
  </si>
  <si>
    <t>Other assets</t>
  </si>
  <si>
    <t xml:space="preserve">Check </t>
  </si>
  <si>
    <t>Share price</t>
  </si>
  <si>
    <t>DILD</t>
  </si>
  <si>
    <t>targrt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</si>
</sst>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770919</xdr:colOff>
      <xdr:row>0</xdr:row>
      <xdr:rowOff>315273</xdr:rowOff>
    </xdr:from>
    <xdr:to>
      <xdr:col>12</xdr:col>
      <xdr:colOff>36649</xdr:colOff>
      <xdr:row>45</xdr:row>
      <xdr:rowOff>132320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58719" y="315273"/>
          <a:ext cx="7977931" cy="113772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05469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s="4"/>
      <c r="D2" s="4"/>
      <c r="E2" s="4"/>
    </row>
    <row r="3" ht="20.25" customHeight="1">
      <c r="A3" t="s" s="5">
        <v>3</v>
      </c>
      <c r="B3" s="6">
        <f>AVERAGE('Sales'!I19:I22)</f>
        <v>0.108612734345259</v>
      </c>
      <c r="C3" s="7"/>
      <c r="D3" s="7"/>
      <c r="E3" s="8">
        <f>AVERAGE(B4:E4)</f>
        <v>0.0425</v>
      </c>
    </row>
    <row r="4" ht="20.05" customHeight="1">
      <c r="A4" t="s" s="9">
        <v>4</v>
      </c>
      <c r="B4" s="10">
        <v>0.07000000000000001</v>
      </c>
      <c r="C4" s="11">
        <v>-0.02</v>
      </c>
      <c r="D4" s="11">
        <v>0.05</v>
      </c>
      <c r="E4" s="11">
        <v>0.07000000000000001</v>
      </c>
    </row>
    <row r="5" ht="20.05" customHeight="1">
      <c r="A5" t="s" s="9">
        <v>5</v>
      </c>
      <c r="B5" s="12">
        <f>'Sales'!C22*(1+B4)</f>
        <v>758.63</v>
      </c>
      <c r="C5" s="13">
        <f>B5*(1+C4)</f>
        <v>743.4574</v>
      </c>
      <c r="D5" s="13">
        <f>C5*(1+D4)</f>
        <v>780.63027</v>
      </c>
      <c r="E5" s="13">
        <f>D5*(1+E4)</f>
        <v>835.2743889</v>
      </c>
    </row>
    <row r="6" ht="20.05" customHeight="1">
      <c r="A6" t="s" s="9">
        <v>6</v>
      </c>
      <c r="B6" s="14">
        <f>AVERAGE('Sales'!K20)</f>
        <v>-0.896346737552544</v>
      </c>
      <c r="C6" s="15">
        <f>B6</f>
        <v>-0.896346737552544</v>
      </c>
      <c r="D6" s="15">
        <f>C6</f>
        <v>-0.896346737552544</v>
      </c>
      <c r="E6" s="15">
        <f>D6</f>
        <v>-0.896346737552544</v>
      </c>
    </row>
    <row r="7" ht="20.05" customHeight="1">
      <c r="A7" t="s" s="9">
        <v>7</v>
      </c>
      <c r="B7" s="12">
        <f>B5*B6</f>
        <v>-679.995525509486</v>
      </c>
      <c r="C7" s="13">
        <f>C5*C6</f>
        <v>-666.395614999297</v>
      </c>
      <c r="D7" s="13">
        <f>D5*D6</f>
        <v>-699.715395749262</v>
      </c>
      <c r="E7" s="13">
        <f>E5*E6</f>
        <v>-748.695473451710</v>
      </c>
    </row>
    <row r="8" ht="20.05" customHeight="1">
      <c r="A8" t="s" s="9">
        <v>8</v>
      </c>
      <c r="B8" s="12">
        <f>B5+B7</f>
        <v>78.63447449051399</v>
      </c>
      <c r="C8" s="13">
        <f>C5+C7</f>
        <v>77.061785000703</v>
      </c>
      <c r="D8" s="13">
        <f>D5+D7</f>
        <v>80.91487425073799</v>
      </c>
      <c r="E8" s="13">
        <f>E5+E7</f>
        <v>86.578915448290</v>
      </c>
    </row>
    <row r="9" ht="20.05" customHeight="1">
      <c r="A9" t="s" s="9">
        <v>9</v>
      </c>
      <c r="B9" s="12">
        <f>AVERAGE('Cashflow '!D22)</f>
        <v>-1.8</v>
      </c>
      <c r="C9" s="13">
        <f>B9</f>
        <v>-1.8</v>
      </c>
      <c r="D9" s="13">
        <f>C9</f>
        <v>-1.8</v>
      </c>
      <c r="E9" s="13">
        <f>D9</f>
        <v>-1.8</v>
      </c>
    </row>
    <row r="10" ht="20.05" customHeight="1">
      <c r="A10" t="s" s="9">
        <v>10</v>
      </c>
      <c r="B10" s="12">
        <f>B11+B12+B14</f>
        <v>-76.8344744905144</v>
      </c>
      <c r="C10" s="13">
        <f>C11+C12+C14</f>
        <v>-75.2617850007033</v>
      </c>
      <c r="D10" s="13">
        <f>D11+D12+D14</f>
        <v>-79.1148742507378</v>
      </c>
      <c r="E10" s="13">
        <f>E11+E12+E14</f>
        <v>-84.77891544828999</v>
      </c>
    </row>
    <row r="11" ht="20.05" customHeight="1">
      <c r="A11" t="s" s="9">
        <v>11</v>
      </c>
      <c r="B11" s="12">
        <f>-'Balance sheet '!G22/20</f>
        <v>-505</v>
      </c>
      <c r="C11" s="13">
        <f>-B25/20</f>
        <v>-479.75</v>
      </c>
      <c r="D11" s="13">
        <f>-C25/20</f>
        <v>-455.7625</v>
      </c>
      <c r="E11" s="13">
        <f>-D25/20</f>
        <v>-432.974375</v>
      </c>
    </row>
    <row r="12" ht="20.05" customHeight="1">
      <c r="A12" t="s" s="9">
        <v>12</v>
      </c>
      <c r="B12" s="12">
        <f>IF(B20&gt;0,-B20*0.1,0)</f>
        <v>-4.8734474490514</v>
      </c>
      <c r="C12" s="13">
        <f>IF(C20&gt;0,-C20*0.1,0)</f>
        <v>-4.7161785000703</v>
      </c>
      <c r="D12" s="13">
        <f>IF(D20&gt;0,-D20*0.1,0)</f>
        <v>-5.1014874250738</v>
      </c>
      <c r="E12" s="13">
        <f>IF(E20&gt;0,-E20*0.1,0)</f>
        <v>-5.667891544829</v>
      </c>
    </row>
    <row r="13" ht="20.05" customHeight="1">
      <c r="A13" t="s" s="9">
        <v>13</v>
      </c>
      <c r="B13" s="12">
        <f>B8+B9+B11+B12</f>
        <v>-433.038972958537</v>
      </c>
      <c r="C13" s="13">
        <f>C8+C9+C11+C12</f>
        <v>-409.204393499367</v>
      </c>
      <c r="D13" s="13">
        <f>D8+D9+D11+D12</f>
        <v>-381.749113174336</v>
      </c>
      <c r="E13" s="13">
        <f>E8+E9+E11+E12</f>
        <v>-353.863351096539</v>
      </c>
    </row>
    <row r="14" ht="20.05" customHeight="1">
      <c r="A14" t="s" s="9">
        <v>14</v>
      </c>
      <c r="B14" s="12">
        <f>-MIN(0,B13)</f>
        <v>433.038972958537</v>
      </c>
      <c r="C14" s="13">
        <f>-MIN(B26,C13)</f>
        <v>409.204393499367</v>
      </c>
      <c r="D14" s="13">
        <f>-MIN(C26,D13)</f>
        <v>381.749113174336</v>
      </c>
      <c r="E14" s="13">
        <f>-MIN(D26,E13)</f>
        <v>353.863351096539</v>
      </c>
    </row>
    <row r="15" ht="20.05" customHeight="1">
      <c r="A15" t="s" s="9">
        <v>15</v>
      </c>
      <c r="B15" s="12">
        <f>'Balance sheet '!C22</f>
        <v>1712</v>
      </c>
      <c r="C15" s="13">
        <f>B17</f>
        <v>1712</v>
      </c>
      <c r="D15" s="13">
        <f>C17</f>
        <v>1712</v>
      </c>
      <c r="E15" s="13">
        <f>D17</f>
        <v>1712</v>
      </c>
    </row>
    <row r="16" ht="20.05" customHeight="1">
      <c r="A16" t="s" s="9">
        <v>16</v>
      </c>
      <c r="B16" s="12">
        <f>B8+B9+B10</f>
        <v>-4e-13</v>
      </c>
      <c r="C16" s="13">
        <f>C8+C9+C10</f>
        <v>-3e-13</v>
      </c>
      <c r="D16" s="13">
        <f>D8+D9+D10</f>
        <v>2e-13</v>
      </c>
      <c r="E16" s="13">
        <f>E8+E9+E10</f>
        <v>0</v>
      </c>
    </row>
    <row r="17" ht="20.05" customHeight="1">
      <c r="A17" t="s" s="9">
        <v>17</v>
      </c>
      <c r="B17" s="12">
        <f>B15+B16</f>
        <v>1712</v>
      </c>
      <c r="C17" s="13">
        <f>C15+C16</f>
        <v>1712</v>
      </c>
      <c r="D17" s="13">
        <f>D15+D16</f>
        <v>1712</v>
      </c>
      <c r="E17" s="13">
        <f>E15+E16</f>
        <v>1712</v>
      </c>
    </row>
    <row r="18" ht="20.05" customHeight="1">
      <c r="A18" t="s" s="16">
        <v>18</v>
      </c>
      <c r="B18" s="17"/>
      <c r="C18" s="18"/>
      <c r="D18" s="18"/>
      <c r="E18" s="18"/>
    </row>
    <row r="19" ht="20.05" customHeight="1">
      <c r="A19" t="s" s="9">
        <v>19</v>
      </c>
      <c r="B19" s="12">
        <f>-'Sales'!E22</f>
        <v>-29.9</v>
      </c>
      <c r="C19" s="13">
        <f>B19</f>
        <v>-29.9</v>
      </c>
      <c r="D19" s="13">
        <f>C19</f>
        <v>-29.9</v>
      </c>
      <c r="E19" s="13">
        <f>D19</f>
        <v>-29.9</v>
      </c>
    </row>
    <row r="20" ht="20.05" customHeight="1">
      <c r="A20" t="s" s="9">
        <v>18</v>
      </c>
      <c r="B20" s="12">
        <f>B5+B7+B19</f>
        <v>48.734474490514</v>
      </c>
      <c r="C20" s="13">
        <f>C5+C7+C19</f>
        <v>47.161785000703</v>
      </c>
      <c r="D20" s="13">
        <f>D5+D7+D19</f>
        <v>51.014874250738</v>
      </c>
      <c r="E20" s="13">
        <f>E5+E7+E19</f>
        <v>56.678915448290</v>
      </c>
    </row>
    <row r="21" ht="20.05" customHeight="1">
      <c r="A21" t="s" s="16">
        <v>20</v>
      </c>
      <c r="B21" s="17"/>
      <c r="C21" s="18"/>
      <c r="D21" s="18"/>
      <c r="E21" s="18"/>
    </row>
    <row r="22" ht="20.05" customHeight="1">
      <c r="A22" t="s" s="9">
        <v>21</v>
      </c>
      <c r="B22" s="12">
        <f>'Balance sheet '!E22+'Balance sheet '!F22-B9</f>
        <v>15318.8</v>
      </c>
      <c r="C22" s="13">
        <f>B22-C9</f>
        <v>15320.6</v>
      </c>
      <c r="D22" s="13">
        <f>C22-D9</f>
        <v>15322.4</v>
      </c>
      <c r="E22" s="13">
        <f>D22-E9</f>
        <v>15324.2</v>
      </c>
    </row>
    <row r="23" ht="20.05" customHeight="1">
      <c r="A23" t="s" s="9">
        <v>22</v>
      </c>
      <c r="B23" s="12">
        <f>'Balance sheet '!F22-B19</f>
        <v>1014.9</v>
      </c>
      <c r="C23" s="13">
        <f>B23-C19</f>
        <v>1044.8</v>
      </c>
      <c r="D23" s="13">
        <f>C23-D19</f>
        <v>1074.7</v>
      </c>
      <c r="E23" s="13">
        <f>D23-E19</f>
        <v>1104.6</v>
      </c>
    </row>
    <row r="24" ht="20.05" customHeight="1">
      <c r="A24" t="s" s="9">
        <v>23</v>
      </c>
      <c r="B24" s="12">
        <f>B22-B23</f>
        <v>14303.9</v>
      </c>
      <c r="C24" s="13">
        <f>C22-C23</f>
        <v>14275.8</v>
      </c>
      <c r="D24" s="13">
        <f>D22-D23</f>
        <v>14247.7</v>
      </c>
      <c r="E24" s="13">
        <f>E22-E23</f>
        <v>14219.6</v>
      </c>
    </row>
    <row r="25" ht="20.05" customHeight="1">
      <c r="A25" t="s" s="9">
        <v>11</v>
      </c>
      <c r="B25" s="12">
        <f>'Balance sheet '!G22+B11</f>
        <v>9595</v>
      </c>
      <c r="C25" s="13">
        <f>B25+C11</f>
        <v>9115.25</v>
      </c>
      <c r="D25" s="13">
        <f>C25+D11</f>
        <v>8659.487499999999</v>
      </c>
      <c r="E25" s="13">
        <f>D25+E11</f>
        <v>8226.513124999999</v>
      </c>
    </row>
    <row r="26" ht="20.05" customHeight="1">
      <c r="A26" t="s" s="9">
        <v>14</v>
      </c>
      <c r="B26" s="12">
        <f>B14</f>
        <v>433.038972958537</v>
      </c>
      <c r="C26" s="13">
        <f>B26+C14</f>
        <v>842.243366457904</v>
      </c>
      <c r="D26" s="13">
        <f>C26+D14</f>
        <v>1223.992479632240</v>
      </c>
      <c r="E26" s="13">
        <f>D26+E14</f>
        <v>1577.855830728780</v>
      </c>
    </row>
    <row r="27" ht="20.05" customHeight="1">
      <c r="A27" t="s" s="9">
        <v>12</v>
      </c>
      <c r="B27" s="12">
        <f>'Balance sheet '!H22+B20+B12</f>
        <v>5987.861027041460</v>
      </c>
      <c r="C27" s="13">
        <f>B27+C20+C12</f>
        <v>6030.306633542090</v>
      </c>
      <c r="D27" s="13">
        <f>C27+D20+D12</f>
        <v>6076.220020367750</v>
      </c>
      <c r="E27" s="13">
        <f>D27+E20+E12</f>
        <v>6127.231044271210</v>
      </c>
    </row>
    <row r="28" ht="20.05" customHeight="1">
      <c r="A28" t="s" s="9">
        <v>24</v>
      </c>
      <c r="B28" s="12">
        <f>B25+B26+B27-B17-B24</f>
        <v>-3e-12</v>
      </c>
      <c r="C28" s="13">
        <f>C25+C26+C27-C17-C24</f>
        <v>-6e-12</v>
      </c>
      <c r="D28" s="13">
        <f>D25+D26+D27-D17-D24</f>
        <v>-9.999999999999999e-12</v>
      </c>
      <c r="E28" s="13">
        <f>E25+E26+E27-E17-E24</f>
        <v>-9.999999999999999e-12</v>
      </c>
    </row>
    <row r="29" ht="20.05" customHeight="1">
      <c r="A29" t="s" s="9">
        <v>25</v>
      </c>
      <c r="B29" s="12">
        <f>B17-B25-B26</f>
        <v>-8316.038972958540</v>
      </c>
      <c r="C29" s="13">
        <f>C17-C25-C26</f>
        <v>-8245.4933664579</v>
      </c>
      <c r="D29" s="13">
        <f>D17-D25-D26</f>
        <v>-8171.479979632240</v>
      </c>
      <c r="E29" s="13">
        <f>E17-E25-E26</f>
        <v>-8092.368955728780</v>
      </c>
    </row>
    <row r="30" ht="20.05" customHeight="1">
      <c r="A30" t="s" s="16">
        <v>26</v>
      </c>
      <c r="B30" s="17"/>
      <c r="C30" s="18"/>
      <c r="D30" s="18"/>
      <c r="E30" s="18"/>
    </row>
    <row r="31" ht="20.05" customHeight="1">
      <c r="A31" t="s" s="9">
        <v>27</v>
      </c>
      <c r="B31" s="12">
        <f>'Cashflow '!K22-B10</f>
        <v>-1398.165525509490</v>
      </c>
      <c r="C31" s="13">
        <f>B31-C10</f>
        <v>-1322.903740508790</v>
      </c>
      <c r="D31" s="13">
        <f>C31-D10</f>
        <v>-1243.788866258050</v>
      </c>
      <c r="E31" s="13">
        <f>D31-E10</f>
        <v>-1159.009950809760</v>
      </c>
    </row>
    <row r="32" ht="20.05" customHeight="1">
      <c r="A32" t="s" s="9">
        <v>28</v>
      </c>
      <c r="B32" s="17"/>
      <c r="C32" s="18"/>
      <c r="D32" s="18"/>
      <c r="E32" s="13">
        <v>1721</v>
      </c>
    </row>
    <row r="33" ht="20.05" customHeight="1">
      <c r="A33" t="s" s="9">
        <v>29</v>
      </c>
      <c r="B33" s="17"/>
      <c r="C33" s="18"/>
      <c r="D33" s="18"/>
      <c r="E33" s="19">
        <f>E32/(E17+E24)</f>
        <v>0.108024303899169</v>
      </c>
    </row>
    <row r="34" ht="20.05" customHeight="1">
      <c r="A34" t="s" s="9">
        <v>30</v>
      </c>
      <c r="B34" s="17"/>
      <c r="C34" s="18"/>
      <c r="D34" s="18"/>
      <c r="E34" s="15">
        <f>-(B12+C12+D12+E12)/E32</f>
        <v>0.0118297530035006</v>
      </c>
    </row>
    <row r="35" ht="20.05" customHeight="1">
      <c r="A35" t="s" s="9">
        <v>3</v>
      </c>
      <c r="B35" s="17"/>
      <c r="C35" s="18"/>
      <c r="D35" s="18"/>
      <c r="E35" s="13">
        <f>SUM(B8:E9)</f>
        <v>315.990049190245</v>
      </c>
    </row>
    <row r="36" ht="20.05" customHeight="1">
      <c r="A36" t="s" s="9">
        <v>31</v>
      </c>
      <c r="B36" s="17"/>
      <c r="C36" s="18"/>
      <c r="D36" s="18"/>
      <c r="E36" s="13">
        <f>'Balance sheet '!E22/E35</f>
        <v>45.355858631394</v>
      </c>
    </row>
    <row r="37" ht="20.05" customHeight="1">
      <c r="A37" t="s" s="9">
        <v>26</v>
      </c>
      <c r="B37" s="17"/>
      <c r="C37" s="18"/>
      <c r="D37" s="18"/>
      <c r="E37" s="13">
        <f>E32/E35</f>
        <v>5.44637403744273</v>
      </c>
    </row>
    <row r="38" ht="20.05" customHeight="1">
      <c r="A38" t="s" s="9">
        <v>32</v>
      </c>
      <c r="B38" s="17"/>
      <c r="C38" s="18"/>
      <c r="D38" s="18"/>
      <c r="E38" s="20">
        <v>7</v>
      </c>
    </row>
    <row r="39" ht="20.05" customHeight="1">
      <c r="A39" t="s" s="9">
        <v>33</v>
      </c>
      <c r="B39" s="17"/>
      <c r="C39" s="18"/>
      <c r="D39" s="18"/>
      <c r="E39" s="13">
        <f>E35*E38</f>
        <v>2211.930344331720</v>
      </c>
    </row>
    <row r="40" ht="20.05" customHeight="1">
      <c r="A40" t="s" s="9">
        <v>34</v>
      </c>
      <c r="B40" s="17"/>
      <c r="C40" s="18"/>
      <c r="D40" s="18"/>
      <c r="E40" s="20">
        <v>10.3670212765957</v>
      </c>
    </row>
    <row r="41" ht="20.05" customHeight="1">
      <c r="A41" t="s" s="9">
        <v>35</v>
      </c>
      <c r="B41" s="17"/>
      <c r="C41" s="18"/>
      <c r="D41" s="18"/>
      <c r="E41" s="13">
        <f>E39/E40</f>
        <v>213.3621881654</v>
      </c>
    </row>
    <row r="42" ht="20.05" customHeight="1">
      <c r="A42" t="s" s="9">
        <v>36</v>
      </c>
      <c r="B42" s="17"/>
      <c r="C42" s="18"/>
      <c r="D42" s="18"/>
      <c r="E42" s="20">
        <f>'Share price'!B18</f>
        <v>166</v>
      </c>
    </row>
    <row r="43" ht="20.05" customHeight="1">
      <c r="A43" t="s" s="9">
        <v>37</v>
      </c>
      <c r="B43" s="17"/>
      <c r="C43" s="18"/>
      <c r="D43" s="18"/>
      <c r="E43" s="11">
        <f>E41/E42-1</f>
        <v>0.285314386538554</v>
      </c>
    </row>
    <row r="44" ht="20.05" customHeight="1">
      <c r="A44" t="s" s="9">
        <v>38</v>
      </c>
      <c r="B44" s="17"/>
      <c r="C44" s="18"/>
      <c r="D44" s="18"/>
      <c r="E44" s="15">
        <f>'Sales'!C22/'Sales'!C18-1</f>
        <v>0.277477477477477</v>
      </c>
    </row>
    <row r="45" ht="20.05" customHeight="1">
      <c r="A45" t="s" s="9">
        <v>39</v>
      </c>
      <c r="B45" s="17"/>
      <c r="C45" s="18"/>
      <c r="D45" s="18"/>
      <c r="E45" s="15">
        <f>('Sales'!D21+'Sales'!D22)/('Sales'!C21+'Sales'!C22)-1</f>
        <v>0.0711041503523884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07812" style="21" customWidth="1"/>
    <col min="2" max="12" width="9.83594" style="21" customWidth="1"/>
    <col min="13" max="16384" width="16.3516" style="21" customWidth="1"/>
  </cols>
  <sheetData>
    <row r="1" ht="14.0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22">
        <v>1</v>
      </c>
      <c r="C3" t="s" s="22">
        <v>5</v>
      </c>
      <c r="D3" t="s" s="22">
        <v>32</v>
      </c>
      <c r="E3" t="s" s="22">
        <v>22</v>
      </c>
      <c r="F3" t="s" s="22">
        <v>40</v>
      </c>
      <c r="G3" t="s" s="22">
        <v>18</v>
      </c>
      <c r="H3" t="s" s="22">
        <v>18</v>
      </c>
      <c r="I3" t="s" s="22">
        <v>41</v>
      </c>
      <c r="J3" t="s" s="22">
        <v>6</v>
      </c>
      <c r="K3" t="s" s="22">
        <v>42</v>
      </c>
      <c r="L3" t="s" s="22">
        <v>42</v>
      </c>
    </row>
    <row r="4" ht="20.25" customHeight="1">
      <c r="B4" s="23">
        <v>2017</v>
      </c>
      <c r="C4" s="24">
        <v>399</v>
      </c>
      <c r="D4" s="25"/>
      <c r="E4" s="25">
        <v>8.25</v>
      </c>
      <c r="F4" s="25"/>
      <c r="G4" s="25">
        <v>39</v>
      </c>
      <c r="H4" s="25"/>
      <c r="I4" s="26"/>
      <c r="J4" s="26">
        <f>(E4+G4-C4)/C4</f>
        <v>-0.881578947368421</v>
      </c>
      <c r="K4" s="26"/>
      <c r="L4" s="26">
        <f>('Cashflow '!E4-'Cashflow '!C4)/'Cashflow '!C4</f>
        <v>-1.17695473251029</v>
      </c>
    </row>
    <row r="5" ht="20.05" customHeight="1">
      <c r="B5" s="27"/>
      <c r="C5" s="12">
        <v>941</v>
      </c>
      <c r="D5" s="13"/>
      <c r="E5" s="13">
        <v>8.25</v>
      </c>
      <c r="F5" s="13"/>
      <c r="G5" s="13">
        <v>194</v>
      </c>
      <c r="H5" s="13"/>
      <c r="I5" s="15">
        <f>C5/C4-1</f>
        <v>1.35839598997494</v>
      </c>
      <c r="J5" s="15">
        <f>(E5+G5-C5)/C5</f>
        <v>-0.7850690754516469</v>
      </c>
      <c r="K5" s="15"/>
      <c r="L5" s="15">
        <f>('Cashflow '!E5-'Cashflow '!C5)/'Cashflow '!C5</f>
        <v>-1.22593068035944</v>
      </c>
    </row>
    <row r="6" ht="20.05" customHeight="1">
      <c r="B6" s="27"/>
      <c r="C6" s="12">
        <v>387</v>
      </c>
      <c r="D6" s="13"/>
      <c r="E6" s="13">
        <v>8.25</v>
      </c>
      <c r="F6" s="13"/>
      <c r="G6" s="13">
        <v>-8</v>
      </c>
      <c r="H6" s="13"/>
      <c r="I6" s="15">
        <f>C6/C5-1</f>
        <v>-0.5887353878852279</v>
      </c>
      <c r="J6" s="15">
        <f>(E6+G6-C6)/C6</f>
        <v>-0.999354005167959</v>
      </c>
      <c r="K6" s="15"/>
      <c r="L6" s="15">
        <f>('Cashflow '!E6-'Cashflow '!C6)/'Cashflow '!C6</f>
        <v>-0.882629107981221</v>
      </c>
    </row>
    <row r="7" ht="20.05" customHeight="1">
      <c r="B7" s="27"/>
      <c r="C7" s="12">
        <v>476</v>
      </c>
      <c r="D7" s="13"/>
      <c r="E7" s="13">
        <v>8.25</v>
      </c>
      <c r="F7" s="13"/>
      <c r="G7" s="13">
        <v>47</v>
      </c>
      <c r="H7" s="13">
        <f>AVERAGE(G4:G7)</f>
        <v>68</v>
      </c>
      <c r="I7" s="15">
        <f>C7/C6-1</f>
        <v>0.229974160206718</v>
      </c>
      <c r="J7" s="15">
        <f>(E7+G7-C7)/C7</f>
        <v>-0.883928571428571</v>
      </c>
      <c r="K7" s="15"/>
      <c r="L7" s="15">
        <f>('Cashflow '!E7-'Cashflow '!C7)/'Cashflow '!C7</f>
        <v>-1.66730401529637</v>
      </c>
    </row>
    <row r="8" ht="20.05" customHeight="1">
      <c r="B8" s="28">
        <v>2018</v>
      </c>
      <c r="C8" s="12">
        <v>709</v>
      </c>
      <c r="D8" s="13"/>
      <c r="E8" s="13">
        <v>9</v>
      </c>
      <c r="F8" s="13"/>
      <c r="G8" s="13">
        <v>114</v>
      </c>
      <c r="H8" s="13">
        <f>AVERAGE(G5:G8)</f>
        <v>86.75</v>
      </c>
      <c r="I8" s="15">
        <f>C8/C7-1</f>
        <v>0.489495798319328</v>
      </c>
      <c r="J8" s="15">
        <f>(E8+G8-C8)/C8</f>
        <v>-0.826516220028209</v>
      </c>
      <c r="K8" s="15">
        <f>AVERAGE(L5:L8)</f>
        <v>-1.19417256247951</v>
      </c>
      <c r="L8" s="15">
        <f>('Cashflow '!E8-'Cashflow '!C8)/'Cashflow '!C8</f>
        <v>-1.00082644628099</v>
      </c>
    </row>
    <row r="9" ht="20.05" customHeight="1">
      <c r="B9" s="27"/>
      <c r="C9" s="12">
        <v>1098</v>
      </c>
      <c r="D9" s="13"/>
      <c r="E9" s="13">
        <v>9</v>
      </c>
      <c r="F9" s="13"/>
      <c r="G9" s="13">
        <v>19</v>
      </c>
      <c r="H9" s="13">
        <f>AVERAGE(G6:G9)</f>
        <v>43</v>
      </c>
      <c r="I9" s="15">
        <f>C9/C8-1</f>
        <v>0.5486600846262339</v>
      </c>
      <c r="J9" s="15">
        <f>(E9+G9-C9)/C9</f>
        <v>-0.974499089253188</v>
      </c>
      <c r="K9" s="15">
        <f>AVERAGE(L6:L9)</f>
        <v>-1.16358989238965</v>
      </c>
      <c r="L9" s="15">
        <f>('Cashflow '!E9-'Cashflow '!C9)/'Cashflow '!C9</f>
        <v>-1.1036</v>
      </c>
    </row>
    <row r="10" ht="20.05" customHeight="1">
      <c r="B10" s="27"/>
      <c r="C10" s="12">
        <v>612</v>
      </c>
      <c r="D10" s="13"/>
      <c r="E10" s="13">
        <v>9</v>
      </c>
      <c r="F10" s="13"/>
      <c r="G10" s="13">
        <v>-17</v>
      </c>
      <c r="H10" s="13">
        <f>AVERAGE(G7:G10)</f>
        <v>40.75</v>
      </c>
      <c r="I10" s="15">
        <f>C10/C9-1</f>
        <v>-0.442622950819672</v>
      </c>
      <c r="J10" s="15">
        <f>(E10+G10-C10)/C10</f>
        <v>-1.01307189542484</v>
      </c>
      <c r="K10" s="15">
        <f>AVERAGE(L7:L10)</f>
        <v>-1.18253328095174</v>
      </c>
      <c r="L10" s="15">
        <f>('Cashflow '!E10-'Cashflow '!C10)/'Cashflow '!C10</f>
        <v>-0.958402662229617</v>
      </c>
    </row>
    <row r="11" ht="20.05" customHeight="1">
      <c r="B11" s="27"/>
      <c r="C11" s="12">
        <v>134</v>
      </c>
      <c r="D11" s="13"/>
      <c r="E11" s="13">
        <v>9</v>
      </c>
      <c r="F11" s="13"/>
      <c r="G11" s="13">
        <v>78</v>
      </c>
      <c r="H11" s="13">
        <f>AVERAGE(G8:G11)</f>
        <v>48.5</v>
      </c>
      <c r="I11" s="15">
        <f>C11/C10-1</f>
        <v>-0.781045751633987</v>
      </c>
      <c r="J11" s="15">
        <f>(E11+G11-C11)/C11</f>
        <v>-0.350746268656716</v>
      </c>
      <c r="K11" s="15">
        <f>AVERAGE(L8:L11)</f>
        <v>-0.775082277127652</v>
      </c>
      <c r="L11" s="15">
        <f>('Cashflow '!E11-'Cashflow '!C11)/'Cashflow '!C11</f>
        <v>-0.0375</v>
      </c>
    </row>
    <row r="12" ht="20.05" customHeight="1">
      <c r="B12" s="28">
        <v>2019</v>
      </c>
      <c r="C12" s="12">
        <v>888</v>
      </c>
      <c r="D12" s="13"/>
      <c r="E12" s="13">
        <v>9</v>
      </c>
      <c r="F12" s="13"/>
      <c r="G12" s="13">
        <v>102</v>
      </c>
      <c r="H12" s="13">
        <f>AVERAGE(G9:G12)</f>
        <v>45.5</v>
      </c>
      <c r="I12" s="15">
        <f>C12/C11-1</f>
        <v>5.62686567164179</v>
      </c>
      <c r="J12" s="15">
        <f>(E12+G12-C12)/C12</f>
        <v>-0.875</v>
      </c>
      <c r="K12" s="15">
        <f>AVERAGE(L9:L12)</f>
        <v>-0.8324928530574039</v>
      </c>
      <c r="L12" s="15">
        <f>('Cashflow '!E12-'Cashflow '!C12)/'Cashflow '!C12</f>
        <v>-1.23046875</v>
      </c>
    </row>
    <row r="13" ht="20.05" customHeight="1">
      <c r="B13" s="27"/>
      <c r="C13" s="12">
        <v>458</v>
      </c>
      <c r="D13" s="13"/>
      <c r="E13" s="13">
        <v>9</v>
      </c>
      <c r="F13" s="13"/>
      <c r="G13" s="13">
        <v>-26</v>
      </c>
      <c r="H13" s="13">
        <f>AVERAGE(G10:G13)</f>
        <v>34.25</v>
      </c>
      <c r="I13" s="15">
        <f>C13/C12-1</f>
        <v>-0.484234234234234</v>
      </c>
      <c r="J13" s="15">
        <f>(E13+G13-C13)/C13</f>
        <v>-1.03711790393013</v>
      </c>
      <c r="K13" s="15">
        <f>AVERAGE(L10:L13)</f>
        <v>-0.984458465705627</v>
      </c>
      <c r="L13" s="15">
        <f>('Cashflow '!E13-'Cashflow '!C13)/'Cashflow '!C13</f>
        <v>-1.71146245059289</v>
      </c>
    </row>
    <row r="14" ht="20.05" customHeight="1">
      <c r="B14" s="27"/>
      <c r="C14" s="12">
        <v>508</v>
      </c>
      <c r="D14" s="13"/>
      <c r="E14" s="13">
        <v>9</v>
      </c>
      <c r="F14" s="13"/>
      <c r="G14" s="13">
        <v>7</v>
      </c>
      <c r="H14" s="13">
        <f>AVERAGE(G11:G14)</f>
        <v>40.25</v>
      </c>
      <c r="I14" s="15">
        <f>C14/C13-1</f>
        <v>0.109170305676856</v>
      </c>
      <c r="J14" s="15">
        <f>(E14+G14-C14)/C14</f>
        <v>-0.968503937007874</v>
      </c>
      <c r="K14" s="15">
        <f>AVERAGE(L11:L14)</f>
        <v>-1.02985780014822</v>
      </c>
      <c r="L14" s="15">
        <f>('Cashflow '!E14-'Cashflow '!C14)/'Cashflow '!C14</f>
        <v>-1.14</v>
      </c>
    </row>
    <row r="15" ht="20.05" customHeight="1">
      <c r="B15" s="27"/>
      <c r="C15" s="12">
        <v>882</v>
      </c>
      <c r="D15" s="13"/>
      <c r="E15" s="13">
        <v>9</v>
      </c>
      <c r="F15" s="13">
        <v>495</v>
      </c>
      <c r="G15" s="13">
        <v>354</v>
      </c>
      <c r="H15" s="13">
        <f>AVERAGE(G12:G15)</f>
        <v>109.25</v>
      </c>
      <c r="I15" s="15">
        <f>C15/C14-1</f>
        <v>0.736220472440945</v>
      </c>
      <c r="J15" s="15">
        <f>(E15+G15-F15-C15)/C15</f>
        <v>-1.14965986394558</v>
      </c>
      <c r="K15" s="15">
        <f>AVERAGE(L12:L15)</f>
        <v>-1.25107640745416</v>
      </c>
      <c r="L15" s="15">
        <f>('Cashflow '!E15-'Cashflow '!C15)/'Cashflow '!C15</f>
        <v>-0.922374429223744</v>
      </c>
    </row>
    <row r="16" ht="20.05" customHeight="1">
      <c r="B16" s="28">
        <v>2020</v>
      </c>
      <c r="C16" s="12">
        <v>831</v>
      </c>
      <c r="D16" s="13"/>
      <c r="E16" s="13">
        <v>8.5</v>
      </c>
      <c r="F16" s="13"/>
      <c r="G16" s="13">
        <v>82</v>
      </c>
      <c r="H16" s="13">
        <f>AVERAGE(G13:G16)</f>
        <v>104.25</v>
      </c>
      <c r="I16" s="15">
        <f>C16/C15-1</f>
        <v>-0.0578231292517007</v>
      </c>
      <c r="J16" s="15">
        <f>(E16+G16-C16)/C16</f>
        <v>-0.891095066185319</v>
      </c>
      <c r="K16" s="15">
        <f>AVERAGE(L13:L16)</f>
        <v>-1.19675140102412</v>
      </c>
      <c r="L16" s="15">
        <f>('Cashflow '!E16-'Cashflow '!C16)/'Cashflow '!C16</f>
        <v>-1.01316872427984</v>
      </c>
    </row>
    <row r="17" ht="20.05" customHeight="1">
      <c r="B17" s="27"/>
      <c r="C17" s="12">
        <v>679</v>
      </c>
      <c r="D17" s="13"/>
      <c r="E17" s="13">
        <v>8.5</v>
      </c>
      <c r="F17" s="13"/>
      <c r="G17" s="13">
        <v>0</v>
      </c>
      <c r="H17" s="13">
        <f>AVERAGE(G14:G17)</f>
        <v>110.75</v>
      </c>
      <c r="I17" s="15">
        <f>C17/C16-1</f>
        <v>-0.182912154031288</v>
      </c>
      <c r="J17" s="15">
        <f>(E17+G17-C17)/C17</f>
        <v>-0.987481590574374</v>
      </c>
      <c r="K17" s="15">
        <f>AVERAGE(L14:L17)</f>
        <v>-1.08153215839932</v>
      </c>
      <c r="L17" s="15">
        <f>('Cashflow '!E17-'Cashflow '!C17)/'Cashflow '!C17</f>
        <v>-1.25058548009368</v>
      </c>
    </row>
    <row r="18" ht="20.05" customHeight="1">
      <c r="B18" s="27"/>
      <c r="C18" s="12">
        <v>555</v>
      </c>
      <c r="D18" s="13"/>
      <c r="E18" s="13">
        <v>8.5</v>
      </c>
      <c r="F18" s="13"/>
      <c r="G18" s="13">
        <v>-53</v>
      </c>
      <c r="H18" s="13">
        <f>AVERAGE(G15:G18)</f>
        <v>95.75</v>
      </c>
      <c r="I18" s="15">
        <f>C18/C17-1</f>
        <v>-0.182621502209131</v>
      </c>
      <c r="J18" s="15">
        <f>(E18+G18-C18)/C18</f>
        <v>-1.08018018018018</v>
      </c>
      <c r="K18" s="15">
        <f>AVERAGE(L15:L18)</f>
        <v>-1.00070731114881</v>
      </c>
      <c r="L18" s="15">
        <f>('Cashflow '!E18-'Cashflow '!C18)/'Cashflow '!C18</f>
        <v>-0.816700610997963</v>
      </c>
    </row>
    <row r="19" ht="20.05" customHeight="1">
      <c r="B19" s="27"/>
      <c r="C19" s="12">
        <v>826</v>
      </c>
      <c r="D19" s="13"/>
      <c r="E19" s="13">
        <v>8.5</v>
      </c>
      <c r="F19" s="13"/>
      <c r="G19" s="13">
        <v>40</v>
      </c>
      <c r="H19" s="13">
        <f>AVERAGE(G16:G19)</f>
        <v>17.25</v>
      </c>
      <c r="I19" s="15">
        <f>C19/C18-1</f>
        <v>0.488288288288288</v>
      </c>
      <c r="J19" s="15">
        <f>(E19+G19-C19)/C19</f>
        <v>-0.941283292978208</v>
      </c>
      <c r="K19" s="15">
        <f>AVERAGE(L16:L19)</f>
        <v>-0.99001661646423</v>
      </c>
      <c r="L19" s="15">
        <f>('Cashflow '!E19-'Cashflow '!C19)/'Cashflow '!C19</f>
        <v>-0.879611650485437</v>
      </c>
    </row>
    <row r="20" ht="20.05" customHeight="1">
      <c r="B20" s="28">
        <v>2021</v>
      </c>
      <c r="C20" s="12">
        <v>551</v>
      </c>
      <c r="D20" s="13"/>
      <c r="E20" s="13">
        <v>29.3</v>
      </c>
      <c r="F20" s="13"/>
      <c r="G20" s="13">
        <v>0.7</v>
      </c>
      <c r="H20" s="13">
        <f>AVERAGE(G17:G20)</f>
        <v>-3.075</v>
      </c>
      <c r="I20" s="15">
        <f>C20/C19-1</f>
        <v>-0.332929782082324</v>
      </c>
      <c r="J20" s="15">
        <f>(E20+G20-C20)/C20</f>
        <v>-0.945553539019964</v>
      </c>
      <c r="K20" s="15">
        <f>AVERAGE(L17:L20)</f>
        <v>-0.896346737552544</v>
      </c>
      <c r="L20" s="15">
        <f>('Cashflow '!E20-'Cashflow '!C20)/'Cashflow '!C20</f>
        <v>-0.638489208633094</v>
      </c>
    </row>
    <row r="21" ht="20.05" customHeight="1">
      <c r="B21" s="27"/>
      <c r="C21" s="12">
        <f>1119-C20</f>
        <v>568</v>
      </c>
      <c r="D21" s="13">
        <v>771.4</v>
      </c>
      <c r="E21" s="13">
        <f>59.2-E20</f>
        <v>29.9</v>
      </c>
      <c r="F21" s="13"/>
      <c r="G21" s="13">
        <f>-37-G20</f>
        <v>-37.7</v>
      </c>
      <c r="H21" s="13">
        <f>AVERAGE(G18:G21)</f>
        <v>-12.5</v>
      </c>
      <c r="I21" s="15">
        <f>C21/C20-1</f>
        <v>0.0308529945553539</v>
      </c>
      <c r="J21" s="15">
        <f>(E21+G21-C21)/C21</f>
        <v>-1.0137323943662</v>
      </c>
      <c r="K21" s="15">
        <f>AVERAGE(L18:L21)</f>
        <v>-0.76030587211628</v>
      </c>
      <c r="L21" s="15">
        <f>('Cashflow '!E21-'Cashflow '!C21)/'Cashflow '!C21</f>
        <v>-0.7064220183486239</v>
      </c>
    </row>
    <row r="22" ht="20.05" customHeight="1">
      <c r="B22" s="27"/>
      <c r="C22" s="12">
        <f>1828-SUM(C20:C21)</f>
        <v>709</v>
      </c>
      <c r="D22" s="13">
        <v>596.4</v>
      </c>
      <c r="E22" s="13">
        <f>89.1-SUM(E20:E21)</f>
        <v>29.9</v>
      </c>
      <c r="F22" s="13"/>
      <c r="G22" s="13">
        <f>-108.7-SUM(G20:G21)</f>
        <v>-71.7</v>
      </c>
      <c r="H22" s="13">
        <f>AVERAGE(G19:G22)</f>
        <v>-17.175</v>
      </c>
      <c r="I22" s="15">
        <f>C22/C21-1</f>
        <v>0.248239436619718</v>
      </c>
      <c r="J22" s="15">
        <f>(E22+G22-C22)/C22</f>
        <v>-1.0589562764457</v>
      </c>
      <c r="K22" s="15">
        <f>AVERAGE(L19:L22)</f>
        <v>-0.806956088610924</v>
      </c>
      <c r="L22" s="15">
        <f>('Cashflow '!E22-'Cashflow '!C22)/'Cashflow '!C22</f>
        <v>-1.00330147697654</v>
      </c>
    </row>
    <row r="23" ht="20.05" customHeight="1">
      <c r="B23" s="27"/>
      <c r="C23" s="12"/>
      <c r="D23" s="13">
        <f>'Model'!B5</f>
        <v>758.63</v>
      </c>
      <c r="E23" s="13"/>
      <c r="F23" s="13"/>
      <c r="G23" s="13"/>
      <c r="H23" s="13">
        <f>'Model'!E20</f>
        <v>56.678915448290</v>
      </c>
      <c r="I23" s="15"/>
      <c r="J23" s="15">
        <f>'Model'!B6</f>
        <v>-0.896346737552544</v>
      </c>
      <c r="K23" s="15"/>
      <c r="L23" s="15"/>
    </row>
    <row r="24" ht="20.05" customHeight="1">
      <c r="B24" s="28">
        <v>2022</v>
      </c>
      <c r="C24" s="12"/>
      <c r="D24" s="13">
        <f>'Model'!C5</f>
        <v>743.4574</v>
      </c>
      <c r="E24" s="13"/>
      <c r="F24" s="13"/>
      <c r="G24" s="13"/>
      <c r="H24" s="13"/>
      <c r="I24" s="15"/>
      <c r="J24" s="15"/>
      <c r="K24" s="15"/>
      <c r="L24" s="15"/>
    </row>
    <row r="25" ht="20.05" customHeight="1">
      <c r="B25" s="27"/>
      <c r="C25" s="12"/>
      <c r="D25" s="13">
        <f>'Model'!D5</f>
        <v>780.63027</v>
      </c>
      <c r="E25" s="13"/>
      <c r="F25" s="13"/>
      <c r="G25" s="13"/>
      <c r="H25" s="13"/>
      <c r="I25" s="15"/>
      <c r="J25" s="15"/>
      <c r="K25" s="15"/>
      <c r="L25" s="15"/>
    </row>
    <row r="26" ht="20.05" customHeight="1">
      <c r="B26" s="27"/>
      <c r="C26" s="12"/>
      <c r="D26" s="13">
        <f>'Model'!E5</f>
        <v>835.2743889</v>
      </c>
      <c r="E26" s="13"/>
      <c r="F26" s="13"/>
      <c r="G26" s="13"/>
      <c r="H26" s="13"/>
      <c r="I26" s="15"/>
      <c r="J26" s="15"/>
      <c r="K26" s="15"/>
      <c r="L26" s="15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2656" style="29" customWidth="1"/>
    <col min="2" max="11" width="9.26562" style="29" customWidth="1"/>
    <col min="12" max="16384" width="16.3516" style="29" customWidth="1"/>
  </cols>
  <sheetData>
    <row r="1" ht="12.0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2">
        <v>1</v>
      </c>
      <c r="C3" t="s" s="22">
        <v>43</v>
      </c>
      <c r="D3" t="s" s="22">
        <v>44</v>
      </c>
      <c r="E3" t="s" s="22">
        <v>8</v>
      </c>
      <c r="F3" t="s" s="22">
        <v>9</v>
      </c>
      <c r="G3" t="s" s="22">
        <v>11</v>
      </c>
      <c r="H3" t="s" s="22">
        <v>12</v>
      </c>
      <c r="I3" t="s" s="22">
        <v>45</v>
      </c>
      <c r="J3" t="s" s="22">
        <v>3</v>
      </c>
      <c r="K3" t="s" s="22">
        <v>27</v>
      </c>
    </row>
    <row r="4" ht="20.25" customHeight="1">
      <c r="B4" s="23">
        <v>2017</v>
      </c>
      <c r="C4" s="24">
        <v>486</v>
      </c>
      <c r="D4" s="25">
        <v>-9</v>
      </c>
      <c r="E4" s="25">
        <v>-86</v>
      </c>
      <c r="F4" s="25">
        <v>-2</v>
      </c>
      <c r="G4" s="25">
        <v>254</v>
      </c>
      <c r="H4" s="25"/>
      <c r="I4" s="25">
        <f>D4+E4</f>
        <v>-95</v>
      </c>
      <c r="J4" s="25"/>
      <c r="K4" s="25">
        <f>-G4</f>
        <v>-254</v>
      </c>
    </row>
    <row r="5" ht="20.05" customHeight="1">
      <c r="B5" s="27"/>
      <c r="C5" s="12">
        <v>779</v>
      </c>
      <c r="D5" s="13">
        <v>-16</v>
      </c>
      <c r="E5" s="13">
        <v>-176</v>
      </c>
      <c r="F5" s="13">
        <v>-6</v>
      </c>
      <c r="G5" s="13">
        <v>180</v>
      </c>
      <c r="H5" s="13"/>
      <c r="I5" s="13">
        <f>D5+E5</f>
        <v>-192</v>
      </c>
      <c r="J5" s="13"/>
      <c r="K5" s="13">
        <f>-G5+K4</f>
        <v>-434</v>
      </c>
    </row>
    <row r="6" ht="20.05" customHeight="1">
      <c r="B6" s="27"/>
      <c r="C6" s="12">
        <v>639</v>
      </c>
      <c r="D6" s="13">
        <v>-14</v>
      </c>
      <c r="E6" s="13">
        <v>75</v>
      </c>
      <c r="F6" s="13">
        <v>-7</v>
      </c>
      <c r="G6" s="13">
        <v>6</v>
      </c>
      <c r="H6" s="13"/>
      <c r="I6" s="13">
        <f>D6+E6</f>
        <v>61</v>
      </c>
      <c r="J6" s="13"/>
      <c r="K6" s="13">
        <f>-G6+K5</f>
        <v>-440</v>
      </c>
    </row>
    <row r="7" ht="20.05" customHeight="1">
      <c r="B7" s="27"/>
      <c r="C7" s="12">
        <v>523</v>
      </c>
      <c r="D7" s="13">
        <v>-14</v>
      </c>
      <c r="E7" s="13">
        <v>-349</v>
      </c>
      <c r="F7" s="13">
        <v>-32</v>
      </c>
      <c r="G7" s="13">
        <v>419</v>
      </c>
      <c r="H7" s="13"/>
      <c r="I7" s="13">
        <f>D7+E7</f>
        <v>-363</v>
      </c>
      <c r="J7" s="13">
        <f>AVERAGE(I4:I7)</f>
        <v>-147.25</v>
      </c>
      <c r="K7" s="13">
        <f>-G7+K6</f>
        <v>-859</v>
      </c>
    </row>
    <row r="8" ht="20.05" customHeight="1">
      <c r="B8" s="28">
        <v>2018</v>
      </c>
      <c r="C8" s="12">
        <v>605</v>
      </c>
      <c r="D8" s="13">
        <v>-9</v>
      </c>
      <c r="E8" s="13">
        <v>-0.5</v>
      </c>
      <c r="F8" s="13">
        <v>-6</v>
      </c>
      <c r="G8" s="13">
        <v>135</v>
      </c>
      <c r="H8" s="13"/>
      <c r="I8" s="13">
        <f>D8+E8</f>
        <v>-9.5</v>
      </c>
      <c r="J8" s="13">
        <f>AVERAGE(I5:I8)</f>
        <v>-125.875</v>
      </c>
      <c r="K8" s="13">
        <f>-G8+K7</f>
        <v>-994</v>
      </c>
    </row>
    <row r="9" ht="20.05" customHeight="1">
      <c r="B9" s="27"/>
      <c r="C9" s="12">
        <v>1250</v>
      </c>
      <c r="D9" s="13">
        <v>-9</v>
      </c>
      <c r="E9" s="13">
        <v>-129.5</v>
      </c>
      <c r="F9" s="13">
        <v>-40</v>
      </c>
      <c r="G9" s="13">
        <v>267</v>
      </c>
      <c r="H9" s="13"/>
      <c r="I9" s="13">
        <f>D9+E9</f>
        <v>-138.5</v>
      </c>
      <c r="J9" s="13">
        <f>AVERAGE(I6:I9)</f>
        <v>-112.5</v>
      </c>
      <c r="K9" s="13">
        <f>-G9+K8</f>
        <v>-1261</v>
      </c>
    </row>
    <row r="10" ht="20.05" customHeight="1">
      <c r="B10" s="27"/>
      <c r="C10" s="12">
        <v>601</v>
      </c>
      <c r="D10" s="13">
        <v>-15</v>
      </c>
      <c r="E10" s="13">
        <v>25</v>
      </c>
      <c r="F10" s="13">
        <v>-52</v>
      </c>
      <c r="G10" s="13">
        <v>66</v>
      </c>
      <c r="H10" s="13"/>
      <c r="I10" s="13">
        <f>D10+E10</f>
        <v>10</v>
      </c>
      <c r="J10" s="13">
        <f>AVERAGE(I7:I10)</f>
        <v>-125.25</v>
      </c>
      <c r="K10" s="13">
        <f>-G10+K9</f>
        <v>-1327</v>
      </c>
    </row>
    <row r="11" ht="20.05" customHeight="1">
      <c r="B11" s="27"/>
      <c r="C11" s="12">
        <v>80</v>
      </c>
      <c r="D11" s="13">
        <v>-12</v>
      </c>
      <c r="E11" s="13">
        <v>77</v>
      </c>
      <c r="F11" s="13">
        <v>-63</v>
      </c>
      <c r="G11" s="13">
        <v>95</v>
      </c>
      <c r="H11" s="13"/>
      <c r="I11" s="13">
        <f>D11+E11</f>
        <v>65</v>
      </c>
      <c r="J11" s="13">
        <f>AVERAGE(I8:I11)</f>
        <v>-18.25</v>
      </c>
      <c r="K11" s="13">
        <f>-G11+K10</f>
        <v>-1422</v>
      </c>
    </row>
    <row r="12" ht="20.05" customHeight="1">
      <c r="B12" s="28">
        <v>2019</v>
      </c>
      <c r="C12" s="12">
        <v>512</v>
      </c>
      <c r="D12" s="13">
        <v>-5</v>
      </c>
      <c r="E12" s="13">
        <v>-118</v>
      </c>
      <c r="F12" s="13">
        <v>5</v>
      </c>
      <c r="G12" s="13">
        <v>88</v>
      </c>
      <c r="H12" s="13"/>
      <c r="I12" s="13">
        <f>D12+E12</f>
        <v>-123</v>
      </c>
      <c r="J12" s="13">
        <f>AVERAGE(I9:I12)</f>
        <v>-46.625</v>
      </c>
      <c r="K12" s="13">
        <f>-G12+K11</f>
        <v>-1510</v>
      </c>
    </row>
    <row r="13" ht="20.05" customHeight="1">
      <c r="B13" s="27"/>
      <c r="C13" s="12">
        <v>506</v>
      </c>
      <c r="D13" s="13">
        <v>-8</v>
      </c>
      <c r="E13" s="13">
        <v>-360</v>
      </c>
      <c r="F13" s="13">
        <v>243</v>
      </c>
      <c r="G13" s="13">
        <v>309</v>
      </c>
      <c r="H13" s="13"/>
      <c r="I13" s="13">
        <f>D13+E13</f>
        <v>-368</v>
      </c>
      <c r="J13" s="13">
        <f>AVERAGE(I10:I13)</f>
        <v>-104</v>
      </c>
      <c r="K13" s="13">
        <f>-G13+K12</f>
        <v>-1819</v>
      </c>
    </row>
    <row r="14" ht="20.05" customHeight="1">
      <c r="B14" s="27"/>
      <c r="C14" s="12">
        <v>550</v>
      </c>
      <c r="D14" s="13">
        <v>-9</v>
      </c>
      <c r="E14" s="13">
        <v>-77</v>
      </c>
      <c r="F14" s="13">
        <v>4</v>
      </c>
      <c r="G14" s="13">
        <v>70</v>
      </c>
      <c r="H14" s="13"/>
      <c r="I14" s="13">
        <f>D14+E14</f>
        <v>-86</v>
      </c>
      <c r="J14" s="13">
        <f>AVERAGE(I11:I14)</f>
        <v>-128</v>
      </c>
      <c r="K14" s="13">
        <f>-G14+K13</f>
        <v>-1889</v>
      </c>
    </row>
    <row r="15" ht="20.05" customHeight="1">
      <c r="B15" s="27"/>
      <c r="C15" s="12">
        <v>657</v>
      </c>
      <c r="D15" s="13">
        <v>-7</v>
      </c>
      <c r="E15" s="13">
        <v>51</v>
      </c>
      <c r="F15" s="13">
        <v>470</v>
      </c>
      <c r="G15" s="13">
        <v>-394</v>
      </c>
      <c r="H15" s="13"/>
      <c r="I15" s="13">
        <f>D15+E15</f>
        <v>44</v>
      </c>
      <c r="J15" s="13">
        <f>AVERAGE(I12:I15)</f>
        <v>-133.25</v>
      </c>
      <c r="K15" s="13">
        <f>-G15+K14</f>
        <v>-1495</v>
      </c>
    </row>
    <row r="16" ht="20.05" customHeight="1">
      <c r="B16" s="28">
        <v>2020</v>
      </c>
      <c r="C16" s="12">
        <v>1215</v>
      </c>
      <c r="D16" s="13">
        <v>-7</v>
      </c>
      <c r="E16" s="13">
        <v>-16</v>
      </c>
      <c r="F16" s="13">
        <v>-3</v>
      </c>
      <c r="G16" s="13">
        <v>27</v>
      </c>
      <c r="H16" s="13"/>
      <c r="I16" s="13">
        <f>D16+E16</f>
        <v>-23</v>
      </c>
      <c r="J16" s="13">
        <f>AVERAGE(I13:I16)</f>
        <v>-108.25</v>
      </c>
      <c r="K16" s="13">
        <f>-G16+K15</f>
        <v>-1522</v>
      </c>
    </row>
    <row r="17" ht="20.05" customHeight="1">
      <c r="B17" s="27"/>
      <c r="C17" s="12">
        <v>427</v>
      </c>
      <c r="D17" s="13">
        <v>-4</v>
      </c>
      <c r="E17" s="13">
        <v>-107</v>
      </c>
      <c r="F17" s="13">
        <v>-4</v>
      </c>
      <c r="G17" s="13">
        <v>38</v>
      </c>
      <c r="H17" s="13"/>
      <c r="I17" s="13">
        <f>D17+E17</f>
        <v>-111</v>
      </c>
      <c r="J17" s="13">
        <f>AVERAGE(I14:I17)</f>
        <v>-44</v>
      </c>
      <c r="K17" s="13">
        <f>-G17+K16</f>
        <v>-1560</v>
      </c>
    </row>
    <row r="18" ht="20.05" customHeight="1">
      <c r="B18" s="27"/>
      <c r="C18" s="12">
        <v>491</v>
      </c>
      <c r="D18" s="13">
        <v>-1</v>
      </c>
      <c r="E18" s="13">
        <v>90</v>
      </c>
      <c r="F18" s="13">
        <v>-4</v>
      </c>
      <c r="G18" s="13">
        <v>-13</v>
      </c>
      <c r="H18" s="13"/>
      <c r="I18" s="13">
        <f>D18+E18</f>
        <v>89</v>
      </c>
      <c r="J18" s="13">
        <f>AVERAGE(I15:I18)</f>
        <v>-0.25</v>
      </c>
      <c r="K18" s="13">
        <f>-G18+K17</f>
        <v>-1547</v>
      </c>
    </row>
    <row r="19" ht="20.05" customHeight="1">
      <c r="B19" s="27"/>
      <c r="C19" s="12">
        <v>515</v>
      </c>
      <c r="D19" s="13">
        <v>-3</v>
      </c>
      <c r="E19" s="13">
        <v>62</v>
      </c>
      <c r="F19" s="13">
        <v>-83</v>
      </c>
      <c r="G19" s="13">
        <v>22</v>
      </c>
      <c r="H19" s="13"/>
      <c r="I19" s="13">
        <f>D19+E19</f>
        <v>59</v>
      </c>
      <c r="J19" s="13">
        <f>AVERAGE(I16:I19)</f>
        <v>3.5</v>
      </c>
      <c r="K19" s="13">
        <f>-G19+K18</f>
        <v>-1569</v>
      </c>
    </row>
    <row r="20" ht="20.05" customHeight="1">
      <c r="B20" s="28">
        <v>2021</v>
      </c>
      <c r="C20" s="12">
        <v>556</v>
      </c>
      <c r="D20" s="13">
        <v>-2</v>
      </c>
      <c r="E20" s="13">
        <v>201</v>
      </c>
      <c r="F20" s="13">
        <v>9</v>
      </c>
      <c r="G20" s="13">
        <v>-86</v>
      </c>
      <c r="H20" s="13"/>
      <c r="I20" s="13">
        <f>D20+E20</f>
        <v>199</v>
      </c>
      <c r="J20" s="13">
        <f>AVERAGE(I17:I20)</f>
        <v>59</v>
      </c>
      <c r="K20" s="13">
        <f>-G20+K19</f>
        <v>-1483</v>
      </c>
    </row>
    <row r="21" ht="20.05" customHeight="1">
      <c r="B21" s="27"/>
      <c r="C21" s="12">
        <f>1101-C20</f>
        <v>545</v>
      </c>
      <c r="D21" s="13">
        <f>-5-D20</f>
        <v>-3</v>
      </c>
      <c r="E21" s="13">
        <f>361-E20</f>
        <v>160</v>
      </c>
      <c r="F21" s="13">
        <f>3.5-F20</f>
        <v>-5.5</v>
      </c>
      <c r="G21" s="13">
        <f>-248-G20</f>
        <v>-162</v>
      </c>
      <c r="H21" s="13"/>
      <c r="I21" s="13">
        <f>D21+E21</f>
        <v>157</v>
      </c>
      <c r="J21" s="13">
        <f>AVERAGE(I18:I21)</f>
        <v>126</v>
      </c>
      <c r="K21" s="13">
        <f>-G21+K20</f>
        <v>-1321</v>
      </c>
    </row>
    <row r="22" ht="20.05" customHeight="1">
      <c r="B22" s="27"/>
      <c r="C22" s="12">
        <f>1676.5-SUM(C20:C21)</f>
        <v>575.5</v>
      </c>
      <c r="D22" s="13">
        <f>-6.8-SUM(D20:D21)</f>
        <v>-1.8</v>
      </c>
      <c r="E22" s="13">
        <f>359.1-SUM(E20:E21)</f>
        <v>-1.9</v>
      </c>
      <c r="F22" s="13">
        <f>21.6-SUM(F20:F21)</f>
        <v>18.1</v>
      </c>
      <c r="G22" s="13">
        <f>-94-SUM(G20:G21)</f>
        <v>154</v>
      </c>
      <c r="H22" s="13"/>
      <c r="I22" s="13">
        <f>D22+E22</f>
        <v>-3.7</v>
      </c>
      <c r="J22" s="13">
        <f>AVERAGE(I19:I22)</f>
        <v>102.825</v>
      </c>
      <c r="K22" s="13">
        <f>-G22+K21</f>
        <v>-1475</v>
      </c>
    </row>
    <row r="23" ht="20.05" customHeight="1">
      <c r="B23" s="27"/>
      <c r="C23" s="12"/>
      <c r="D23" s="13"/>
      <c r="E23" s="13"/>
      <c r="F23" s="13"/>
      <c r="G23" s="13"/>
      <c r="H23" s="13"/>
      <c r="I23" s="13"/>
      <c r="J23" s="13">
        <f>SUM('Model'!E8:E9)</f>
        <v>84.77891544828999</v>
      </c>
      <c r="K23" s="13">
        <f>'Model'!E31</f>
        <v>-1159.009950809760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39844" style="30" customWidth="1"/>
    <col min="2" max="11" width="9.66406" style="30" customWidth="1"/>
    <col min="12" max="16384" width="16.3516" style="30" customWidth="1"/>
  </cols>
  <sheetData>
    <row r="1" ht="10.0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2">
        <v>1</v>
      </c>
      <c r="C3" t="s" s="22">
        <v>46</v>
      </c>
      <c r="D3" t="s" s="22">
        <v>47</v>
      </c>
      <c r="E3" t="s" s="22">
        <v>48</v>
      </c>
      <c r="F3" t="s" s="22">
        <v>22</v>
      </c>
      <c r="G3" t="s" s="22">
        <v>11</v>
      </c>
      <c r="H3" t="s" s="22">
        <v>12</v>
      </c>
      <c r="I3" t="s" s="22">
        <v>49</v>
      </c>
      <c r="J3" t="s" s="22">
        <v>25</v>
      </c>
      <c r="K3" t="s" s="22">
        <v>32</v>
      </c>
    </row>
    <row r="4" ht="20.25" customHeight="1">
      <c r="B4" s="23">
        <v>2017</v>
      </c>
      <c r="C4" s="24">
        <v>640</v>
      </c>
      <c r="D4" s="25">
        <v>12177</v>
      </c>
      <c r="E4" s="25">
        <f>D4-C4</f>
        <v>11537</v>
      </c>
      <c r="F4" s="25"/>
      <c r="G4" s="25">
        <v>6350</v>
      </c>
      <c r="H4" s="25">
        <v>5826</v>
      </c>
      <c r="I4" s="25">
        <f>G4+H4-C4-E4</f>
        <v>-1</v>
      </c>
      <c r="J4" s="25">
        <f>C4-G4</f>
        <v>-5710</v>
      </c>
      <c r="K4" s="25"/>
    </row>
    <row r="5" ht="20.05" customHeight="1">
      <c r="B5" s="27"/>
      <c r="C5" s="12">
        <v>638</v>
      </c>
      <c r="D5" s="13">
        <v>12553</v>
      </c>
      <c r="E5" s="13">
        <f>D5-C5</f>
        <v>11915</v>
      </c>
      <c r="F5" s="13"/>
      <c r="G5" s="13">
        <v>6609</v>
      </c>
      <c r="H5" s="13">
        <v>5945</v>
      </c>
      <c r="I5" s="13">
        <f>G5+H5-C5-E5</f>
        <v>1</v>
      </c>
      <c r="J5" s="13">
        <f>C5-G5</f>
        <v>-5971</v>
      </c>
      <c r="K5" s="13"/>
    </row>
    <row r="6" ht="20.05" customHeight="1">
      <c r="B6" s="27"/>
      <c r="C6" s="12">
        <v>711</v>
      </c>
      <c r="D6" s="13">
        <v>12645</v>
      </c>
      <c r="E6" s="13">
        <f>D6-C6</f>
        <v>11934</v>
      </c>
      <c r="F6" s="13"/>
      <c r="G6" s="13">
        <v>6659</v>
      </c>
      <c r="H6" s="13">
        <v>5986</v>
      </c>
      <c r="I6" s="13">
        <f>G6+H6-C6-E6</f>
        <v>0</v>
      </c>
      <c r="J6" s="13">
        <f>C6-G6</f>
        <v>-5948</v>
      </c>
      <c r="K6" s="13"/>
    </row>
    <row r="7" ht="20.05" customHeight="1">
      <c r="B7" s="27"/>
      <c r="C7" s="12">
        <v>750</v>
      </c>
      <c r="D7" s="13">
        <v>13097</v>
      </c>
      <c r="E7" s="13">
        <f>D7-C7</f>
        <v>12347</v>
      </c>
      <c r="F7" s="13"/>
      <c r="G7" s="13">
        <v>6787</v>
      </c>
      <c r="H7" s="13">
        <v>6311</v>
      </c>
      <c r="I7" s="13">
        <f>G7+H7-C7-E7</f>
        <v>1</v>
      </c>
      <c r="J7" s="13">
        <f>C7-G7</f>
        <v>-6037</v>
      </c>
      <c r="K7" s="13"/>
    </row>
    <row r="8" ht="20.05" customHeight="1">
      <c r="B8" s="28">
        <v>2018</v>
      </c>
      <c r="C8" s="12">
        <v>878</v>
      </c>
      <c r="D8" s="13">
        <v>13430</v>
      </c>
      <c r="E8" s="13">
        <f>D8-C8</f>
        <v>12552</v>
      </c>
      <c r="F8" s="13"/>
      <c r="G8" s="13">
        <v>7004</v>
      </c>
      <c r="H8" s="13">
        <v>6426</v>
      </c>
      <c r="I8" s="13">
        <f>G8+H8-C8-E8</f>
        <v>0</v>
      </c>
      <c r="J8" s="13">
        <f>C8-G8</f>
        <v>-6126</v>
      </c>
      <c r="K8" s="13"/>
    </row>
    <row r="9" ht="20.05" customHeight="1">
      <c r="B9" s="27"/>
      <c r="C9" s="12">
        <v>976</v>
      </c>
      <c r="D9" s="13">
        <v>13809</v>
      </c>
      <c r="E9" s="13">
        <f>D9-C9</f>
        <v>12833</v>
      </c>
      <c r="F9" s="13"/>
      <c r="G9" s="13">
        <v>7363</v>
      </c>
      <c r="H9" s="13">
        <v>6446</v>
      </c>
      <c r="I9" s="13">
        <f>G9+H9-C9-E9</f>
        <v>0</v>
      </c>
      <c r="J9" s="13">
        <f>C9-G9</f>
        <v>-6387</v>
      </c>
      <c r="K9" s="13"/>
    </row>
    <row r="10" ht="20.05" customHeight="1">
      <c r="B10" s="27"/>
      <c r="C10" s="12">
        <v>1016</v>
      </c>
      <c r="D10" s="13">
        <v>13868</v>
      </c>
      <c r="E10" s="13">
        <f>D10-C10</f>
        <v>12852</v>
      </c>
      <c r="F10" s="13"/>
      <c r="G10" s="13">
        <v>7435</v>
      </c>
      <c r="H10" s="13">
        <v>6433</v>
      </c>
      <c r="I10" s="13">
        <f>G10+H10-C10-E10</f>
        <v>0</v>
      </c>
      <c r="J10" s="13">
        <f>C10-G10</f>
        <v>-6419</v>
      </c>
      <c r="K10" s="13"/>
    </row>
    <row r="11" ht="20.05" customHeight="1">
      <c r="B11" s="27"/>
      <c r="C11" s="12">
        <v>1124</v>
      </c>
      <c r="D11" s="13">
        <v>14216</v>
      </c>
      <c r="E11" s="13">
        <f>D11-C11</f>
        <v>13092</v>
      </c>
      <c r="F11" s="13"/>
      <c r="G11" s="13">
        <v>7700</v>
      </c>
      <c r="H11" s="13">
        <v>6516</v>
      </c>
      <c r="I11" s="13">
        <f>G11+H11-C11-E11</f>
        <v>0</v>
      </c>
      <c r="J11" s="13">
        <f>C11-G11</f>
        <v>-6576</v>
      </c>
      <c r="K11" s="13"/>
    </row>
    <row r="12" ht="20.05" customHeight="1">
      <c r="B12" s="28">
        <v>2019</v>
      </c>
      <c r="C12" s="12">
        <v>1098</v>
      </c>
      <c r="D12" s="13">
        <v>14116</v>
      </c>
      <c r="E12" s="13">
        <f>D12-C12</f>
        <v>13018</v>
      </c>
      <c r="F12" s="13"/>
      <c r="G12" s="13">
        <v>7495</v>
      </c>
      <c r="H12" s="13">
        <v>6622</v>
      </c>
      <c r="I12" s="13">
        <f>G12+H12-C12-E12</f>
        <v>1</v>
      </c>
      <c r="J12" s="13">
        <f>C12-G12</f>
        <v>-6397</v>
      </c>
      <c r="K12" s="13"/>
    </row>
    <row r="13" ht="20.05" customHeight="1">
      <c r="B13" s="27"/>
      <c r="C13" s="12">
        <v>1290</v>
      </c>
      <c r="D13" s="13">
        <v>14577</v>
      </c>
      <c r="E13" s="13">
        <f>D13-C13</f>
        <v>13287</v>
      </c>
      <c r="F13" s="13"/>
      <c r="G13" s="13">
        <v>7548</v>
      </c>
      <c r="H13" s="13">
        <v>7029</v>
      </c>
      <c r="I13" s="13">
        <f>G13+H13-C13-E13</f>
        <v>0</v>
      </c>
      <c r="J13" s="13">
        <f>C13-G13</f>
        <v>-6258</v>
      </c>
      <c r="K13" s="13"/>
    </row>
    <row r="14" ht="20.05" customHeight="1">
      <c r="B14" s="27"/>
      <c r="C14" s="12">
        <v>1289</v>
      </c>
      <c r="D14" s="13">
        <v>14684</v>
      </c>
      <c r="E14" s="13">
        <f>D14-C14</f>
        <v>13395</v>
      </c>
      <c r="F14" s="13"/>
      <c r="G14" s="13">
        <v>7646</v>
      </c>
      <c r="H14" s="13">
        <v>7037</v>
      </c>
      <c r="I14" s="13">
        <f>G14+H14-C14-E14</f>
        <v>-1</v>
      </c>
      <c r="J14" s="13">
        <f>C14-G14</f>
        <v>-6357</v>
      </c>
      <c r="K14" s="13"/>
    </row>
    <row r="15" ht="20.05" customHeight="1">
      <c r="B15" s="27"/>
      <c r="C15" s="12">
        <v>1416</v>
      </c>
      <c r="D15" s="13">
        <v>14778</v>
      </c>
      <c r="E15" s="13">
        <f>D15-C15</f>
        <v>13362</v>
      </c>
      <c r="F15" s="13"/>
      <c r="G15" s="13">
        <v>7543</v>
      </c>
      <c r="H15" s="13">
        <v>7235</v>
      </c>
      <c r="I15" s="13">
        <f>G15+H15-C15-E15</f>
        <v>0</v>
      </c>
      <c r="J15" s="13">
        <f>C15-G15</f>
        <v>-6127</v>
      </c>
      <c r="K15" s="13"/>
    </row>
    <row r="16" ht="20.05" customHeight="1">
      <c r="B16" s="28">
        <v>2020</v>
      </c>
      <c r="C16" s="12">
        <v>1425</v>
      </c>
      <c r="D16" s="13">
        <v>15928</v>
      </c>
      <c r="E16" s="13">
        <f>D16-C16</f>
        <v>14503</v>
      </c>
      <c r="F16" s="13"/>
      <c r="G16" s="13">
        <v>9902</v>
      </c>
      <c r="H16" s="13">
        <v>6026</v>
      </c>
      <c r="I16" s="13">
        <f>G16+H16-C16-E16</f>
        <v>0</v>
      </c>
      <c r="J16" s="13">
        <f>C16-G16</f>
        <v>-8477</v>
      </c>
      <c r="K16" s="13"/>
    </row>
    <row r="17" ht="20.05" customHeight="1">
      <c r="B17" s="27"/>
      <c r="C17" s="12">
        <v>1351</v>
      </c>
      <c r="D17" s="13">
        <v>15917</v>
      </c>
      <c r="E17" s="13">
        <f>D17-C17</f>
        <v>14566</v>
      </c>
      <c r="F17" s="13"/>
      <c r="G17" s="13">
        <v>9891</v>
      </c>
      <c r="H17" s="13">
        <v>6026</v>
      </c>
      <c r="I17" s="13">
        <f>G17+H17-C17-E17</f>
        <v>0</v>
      </c>
      <c r="J17" s="13">
        <f>C17-G17</f>
        <v>-8540</v>
      </c>
      <c r="K17" s="13"/>
    </row>
    <row r="18" ht="20.05" customHeight="1">
      <c r="B18" s="27"/>
      <c r="C18" s="12">
        <v>1424</v>
      </c>
      <c r="D18" s="13">
        <v>15870</v>
      </c>
      <c r="E18" s="13">
        <f>D18-C18</f>
        <v>14446</v>
      </c>
      <c r="F18" s="13"/>
      <c r="G18" s="13">
        <v>9896</v>
      </c>
      <c r="H18" s="13">
        <v>5973</v>
      </c>
      <c r="I18" s="13">
        <f>G18+H18-C18-E18</f>
        <v>-1</v>
      </c>
      <c r="J18" s="13">
        <f>C18-G18</f>
        <v>-8472</v>
      </c>
      <c r="K18" s="13"/>
    </row>
    <row r="19" ht="20.05" customHeight="1">
      <c r="B19" s="27"/>
      <c r="C19" s="12">
        <v>1425</v>
      </c>
      <c r="D19" s="13">
        <v>15702</v>
      </c>
      <c r="E19" s="13">
        <f>D19-C19</f>
        <v>14277</v>
      </c>
      <c r="F19" s="13">
        <f>573+324</f>
        <v>897</v>
      </c>
      <c r="G19" s="13">
        <v>9653</v>
      </c>
      <c r="H19" s="13">
        <v>6049</v>
      </c>
      <c r="I19" s="13">
        <f>G19+H19-C19-E19</f>
        <v>0</v>
      </c>
      <c r="J19" s="13">
        <f>C19-G19</f>
        <v>-8228</v>
      </c>
      <c r="K19" s="13"/>
    </row>
    <row r="20" ht="20.05" customHeight="1">
      <c r="B20" s="28">
        <v>2021</v>
      </c>
      <c r="C20" s="12">
        <v>1549</v>
      </c>
      <c r="D20" s="13">
        <v>15968</v>
      </c>
      <c r="E20" s="13">
        <f>D20-C20</f>
        <v>14419</v>
      </c>
      <c r="F20" s="13">
        <f>594+331</f>
        <v>925</v>
      </c>
      <c r="G20" s="13">
        <v>9917</v>
      </c>
      <c r="H20" s="13">
        <v>6051</v>
      </c>
      <c r="I20" s="13">
        <f>G20+H20-C20-E20</f>
        <v>0</v>
      </c>
      <c r="J20" s="13">
        <f>C20-G20</f>
        <v>-8368</v>
      </c>
      <c r="K20" s="13"/>
    </row>
    <row r="21" ht="20.05" customHeight="1">
      <c r="B21" s="27"/>
      <c r="C21" s="12">
        <v>1542</v>
      </c>
      <c r="D21" s="13">
        <v>16029</v>
      </c>
      <c r="E21" s="13">
        <f>D21-C21</f>
        <v>14487</v>
      </c>
      <c r="F21" s="13">
        <f>615+340</f>
        <v>955</v>
      </c>
      <c r="G21" s="13">
        <v>10015</v>
      </c>
      <c r="H21" s="13">
        <v>6014</v>
      </c>
      <c r="I21" s="13">
        <f>G21+H21-C21-E21</f>
        <v>0</v>
      </c>
      <c r="J21" s="13">
        <f>C21-G21</f>
        <v>-8473</v>
      </c>
      <c r="K21" s="13"/>
    </row>
    <row r="22" ht="20.05" customHeight="1">
      <c r="B22" s="27"/>
      <c r="C22" s="12">
        <v>1712</v>
      </c>
      <c r="D22" s="13">
        <v>16044</v>
      </c>
      <c r="E22" s="13">
        <f>D22-C22</f>
        <v>14332</v>
      </c>
      <c r="F22" s="13">
        <f>636+349</f>
        <v>985</v>
      </c>
      <c r="G22" s="13">
        <v>10100</v>
      </c>
      <c r="H22" s="13">
        <v>5944</v>
      </c>
      <c r="I22" s="13">
        <f>G22+H22-C22-E22</f>
        <v>0</v>
      </c>
      <c r="J22" s="13">
        <f>C22-G22</f>
        <v>-8388</v>
      </c>
      <c r="K22" s="13">
        <f>J22</f>
        <v>-8388</v>
      </c>
    </row>
    <row r="23" ht="20.05" customHeight="1">
      <c r="B23" s="27"/>
      <c r="C23" s="12"/>
      <c r="D23" s="13"/>
      <c r="E23" s="13"/>
      <c r="F23" s="13"/>
      <c r="G23" s="13"/>
      <c r="H23" s="13"/>
      <c r="I23" s="13"/>
      <c r="J23" s="13"/>
      <c r="K23" s="13">
        <f>'Model'!E29</f>
        <v>-8092.368955728780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0.4141" style="31" customWidth="1"/>
    <col min="4" max="16384" width="16.3516" style="31" customWidth="1"/>
  </cols>
  <sheetData>
    <row r="1" ht="27.65" customHeight="1">
      <c r="A1" t="s" s="2">
        <v>50</v>
      </c>
      <c r="B1" s="2"/>
      <c r="C1" s="2"/>
    </row>
    <row r="2" ht="20.25" customHeight="1">
      <c r="A2" s="32"/>
      <c r="B2" t="s" s="22">
        <v>51</v>
      </c>
      <c r="C2" t="s" s="22">
        <v>52</v>
      </c>
    </row>
    <row r="3" ht="20.25" customHeight="1">
      <c r="A3" s="23">
        <v>2018</v>
      </c>
      <c r="B3" s="33">
        <v>327.9375</v>
      </c>
      <c r="C3" s="7"/>
    </row>
    <row r="4" ht="20.05" customHeight="1">
      <c r="A4" s="27"/>
      <c r="B4" s="34">
        <v>367.6875</v>
      </c>
      <c r="C4" s="18"/>
    </row>
    <row r="5" ht="20.05" customHeight="1">
      <c r="A5" s="27"/>
      <c r="B5" s="34">
        <v>290.174988</v>
      </c>
      <c r="C5" s="18"/>
    </row>
    <row r="6" ht="20.05" customHeight="1">
      <c r="A6" s="27"/>
      <c r="B6" s="34">
        <v>306.074982</v>
      </c>
      <c r="C6" s="18"/>
    </row>
    <row r="7" ht="20.05" customHeight="1">
      <c r="A7" s="28">
        <v>2019</v>
      </c>
      <c r="B7" s="34">
        <v>341.850006</v>
      </c>
      <c r="C7" s="18"/>
    </row>
    <row r="8" ht="20.05" customHeight="1">
      <c r="A8" s="27"/>
      <c r="B8" s="34">
        <v>384</v>
      </c>
      <c r="C8" s="18"/>
    </row>
    <row r="9" ht="20.05" customHeight="1">
      <c r="A9" s="27"/>
      <c r="B9" s="34">
        <v>398</v>
      </c>
      <c r="C9" s="18"/>
    </row>
    <row r="10" ht="20.05" customHeight="1">
      <c r="A10" s="27"/>
      <c r="B10" s="34">
        <v>260</v>
      </c>
      <c r="C10" s="18"/>
    </row>
    <row r="11" ht="20.05" customHeight="1">
      <c r="A11" s="28">
        <v>2020</v>
      </c>
      <c r="B11" s="34">
        <v>250</v>
      </c>
      <c r="C11" s="18"/>
    </row>
    <row r="12" ht="20.05" customHeight="1">
      <c r="A12" s="27"/>
      <c r="B12" s="34">
        <v>188</v>
      </c>
      <c r="C12" s="18"/>
    </row>
    <row r="13" ht="20.05" customHeight="1">
      <c r="A13" s="27"/>
      <c r="B13" s="34">
        <v>147</v>
      </c>
      <c r="C13" s="18"/>
    </row>
    <row r="14" ht="20.05" customHeight="1">
      <c r="A14" s="27"/>
      <c r="B14" s="34">
        <v>220</v>
      </c>
      <c r="C14" s="18"/>
    </row>
    <row r="15" ht="20.05" customHeight="1">
      <c r="A15" s="28">
        <v>2021</v>
      </c>
      <c r="B15" s="34">
        <v>192</v>
      </c>
      <c r="C15" s="18"/>
    </row>
    <row r="16" ht="20.05" customHeight="1">
      <c r="A16" s="27"/>
      <c r="B16" s="34">
        <v>179</v>
      </c>
      <c r="C16" s="18"/>
    </row>
    <row r="17" ht="20.05" customHeight="1">
      <c r="A17" s="27"/>
      <c r="B17" s="34">
        <v>165</v>
      </c>
      <c r="C17" s="18"/>
    </row>
    <row r="18" ht="20.05" customHeight="1">
      <c r="A18" s="27"/>
      <c r="B18" s="34">
        <v>166</v>
      </c>
      <c r="C18" s="20">
        <f>B18</f>
        <v>166</v>
      </c>
    </row>
    <row r="19" ht="20.05" customHeight="1">
      <c r="A19" s="27"/>
      <c r="B19" s="34"/>
      <c r="C19" s="20">
        <f>'Model'!E41</f>
        <v>213.3621881654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