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<sst xmlns="http://schemas.openxmlformats.org/spreadsheetml/2006/main" uniqueCount="59">
  <si>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</si>
  <si>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 xml:space="preserve">Rpbn 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</si>
  <si>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</si>
  <si>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</si>
  <si>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</si>
  <si>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</si>
  <si>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</si>
  <si>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</si>
  <si>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</si>
  <si>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</si>
  <si>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</si>
  <si>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</si>
  <si>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</si>
  <si>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</si>
  <si>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</si>
  <si>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</si>
  <si>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</si>
  <si>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</si>
  <si>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</si>
  <si>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</si>
  <si>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</si>
  <si>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</si>
  <si>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</si>
  <si>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</si>
  <si>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</si>
  <si>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Revolver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</si>
  <si>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</si>
  <si>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</si>
  <si>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</si>
  <si>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</si>
  <si>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</si>
  <si>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</si>
  <si>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</si>
  <si>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</si>
  <si>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</si>
  <si>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</si>
  <si>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</si>
  <si>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</si>
  <si>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</si>
  <si>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</si>
  <si>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</si>
  <si>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</si>
  <si>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Rpbn</t>
  </si>
  <si>
    <t>Biological</t>
  </si>
  <si>
    <t>Net profit</t>
  </si>
  <si>
    <t>Sales growth</t>
  </si>
  <si>
    <t>Cashflow costs</t>
  </si>
  <si>
    <t xml:space="preserve">Receipts </t>
  </si>
  <si>
    <t xml:space="preserve">Operating </t>
  </si>
  <si>
    <t xml:space="preserve">Investment </t>
  </si>
  <si>
    <t>Interest</t>
  </si>
  <si>
    <t xml:space="preserve">Finance </t>
  </si>
  <si>
    <t xml:space="preserve">Free cashflow </t>
  </si>
  <si>
    <t>Balance sheet</t>
  </si>
  <si>
    <t>Cash</t>
  </si>
  <si>
    <t>Assets</t>
  </si>
  <si>
    <t>Other assets</t>
  </si>
  <si>
    <t>Share price monthly</t>
  </si>
  <si>
    <t>CSRA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</si>
</sst>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%_);[Red]\(0%\)"/>
    <numFmt numFmtId="60" formatCode="0_);[Red]\(0\)"/>
    <numFmt numFmtId="61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60" fontId="0" fillId="4" borderId="4" applyNumberFormat="1" applyFont="1" applyFill="1" applyBorder="1" applyAlignment="1" applyProtection="0">
      <alignment vertical="top" wrapText="1"/>
    </xf>
    <xf numFmtId="59" fontId="0" fillId="4" borderId="4" applyNumberFormat="1" applyFont="1" applyFill="1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9" fontId="0" fillId="4" borderId="6" applyNumberFormat="1" applyFont="1" applyFill="1" applyBorder="1" applyAlignment="1" applyProtection="0">
      <alignment vertical="top" wrapText="1"/>
    </xf>
    <xf numFmtId="9" fontId="0" fillId="4" borderId="7" applyNumberFormat="1" applyFont="1" applyFill="1" applyBorder="1" applyAlignment="1" applyProtection="0">
      <alignment vertical="top" wrapText="1"/>
    </xf>
    <xf numFmtId="3" fontId="0" fillId="4" borderId="6" applyNumberFormat="1" applyFont="1" applyFill="1" applyBorder="1" applyAlignment="1" applyProtection="0">
      <alignment vertical="top" wrapText="1"/>
    </xf>
    <xf numFmtId="3" fontId="0" fillId="4" borderId="7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fillId="4" borderId="6" applyNumberFormat="1" applyFont="1" applyFill="1" applyBorder="1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fillId="4" borderId="7" applyNumberFormat="1" applyFont="1" applyFill="1" applyBorder="1" applyAlignment="1" applyProtection="0">
      <alignment vertical="top" wrapText="1"/>
    </xf>
    <xf numFmtId="61" fontId="0" fillId="4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5" borderId="1" applyNumberFormat="1" applyFont="1" applyFill="1" applyBorder="1" applyAlignment="1" applyProtection="0">
      <alignment horizontal="right" vertical="top" wrapText="1"/>
    </xf>
    <xf numFmtId="0" fontId="2" fillId="6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6" borderId="5" applyNumberFormat="0" applyFont="1" applyFill="1" applyBorder="1" applyAlignment="1" applyProtection="0">
      <alignment vertical="top" wrapText="1"/>
    </xf>
    <xf numFmtId="0" fontId="2" fillId="6" borderId="5" applyNumberFormat="1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5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5" borderId="1" applyNumberFormat="0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2c2c2"/>
      <rgbColor rgb="ffa5a5a5"/>
      <rgbColor rgb="ff3f3f3f"/>
      <rgbColor rgb="ffd6d6d6"/>
      <rgbColor rgb="ffffffff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636922</xdr:colOff>
      <xdr:row>1</xdr:row>
      <xdr:rowOff>265885</xdr:rowOff>
    </xdr:from>
    <xdr:to>
      <xdr:col>13</xdr:col>
      <xdr:colOff>432819</xdr:colOff>
      <xdr:row>45</xdr:row>
      <xdr:rowOff>174909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99422" y="1395550"/>
          <a:ext cx="8508098" cy="112145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5781" style="1" customWidth="1"/>
    <col min="2" max="2" width="15.1172" style="1" customWidth="1"/>
    <col min="3" max="6" width="9.52344" style="1" customWidth="1"/>
    <col min="7" max="16384" width="16.3516" style="1" customWidth="1"/>
  </cols>
  <sheetData>
    <row r="1" ht="88.9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6"/>
      <c r="F3" s="5"/>
    </row>
    <row r="4" ht="20.25" customHeight="1">
      <c r="B4" t="s" s="7">
        <v>3</v>
      </c>
      <c r="C4" s="8">
        <f>AVERAGE('Sales'!H11:H14)</f>
        <v>0.099537236424509</v>
      </c>
      <c r="D4" s="9"/>
      <c r="E4" s="9"/>
      <c r="F4" s="10">
        <f>AVERAGE(C5:F5)</f>
        <v>0.0475</v>
      </c>
    </row>
    <row r="5" ht="20.05" customHeight="1">
      <c r="B5" t="s" s="11">
        <v>4</v>
      </c>
      <c r="C5" s="12">
        <v>0.1</v>
      </c>
      <c r="D5" s="13">
        <v>-0.03</v>
      </c>
      <c r="E5" s="13">
        <v>0.05</v>
      </c>
      <c r="F5" s="13">
        <v>0.07000000000000001</v>
      </c>
    </row>
    <row r="6" ht="20.05" customHeight="1">
      <c r="B6" t="s" s="11">
        <v>5</v>
      </c>
      <c r="C6" s="14">
        <f>'Sales'!C14*(1+C5)</f>
        <v>290.51</v>
      </c>
      <c r="D6" s="15">
        <f>C6*(1+D5)</f>
        <v>281.7947</v>
      </c>
      <c r="E6" s="15">
        <f>D6*(1+E5)</f>
        <v>295.884435</v>
      </c>
      <c r="F6" s="15">
        <f>E6*(1+F5)</f>
        <v>316.59634545</v>
      </c>
    </row>
    <row r="7" ht="20.05" customHeight="1">
      <c r="B7" t="s" s="11">
        <v>6</v>
      </c>
      <c r="C7" s="16">
        <f>AVERAGE('Sales'!J14)</f>
        <v>-0.662953371408295</v>
      </c>
      <c r="D7" s="17">
        <f>C7</f>
        <v>-0.662953371408295</v>
      </c>
      <c r="E7" s="17">
        <f>D7</f>
        <v>-0.662953371408295</v>
      </c>
      <c r="F7" s="17">
        <f>E7</f>
        <v>-0.662953371408295</v>
      </c>
    </row>
    <row r="8" ht="20.05" customHeight="1">
      <c r="B8" t="s" s="11">
        <v>7</v>
      </c>
      <c r="C8" s="18">
        <f>C7*C6</f>
        <v>-192.594583927824</v>
      </c>
      <c r="D8" s="19">
        <f>D7*D6</f>
        <v>-186.816746409989</v>
      </c>
      <c r="E8" s="19">
        <f>E7*E6</f>
        <v>-196.157583730489</v>
      </c>
      <c r="F8" s="19">
        <f>F7*F6</f>
        <v>-209.888614591623</v>
      </c>
    </row>
    <row r="9" ht="20.05" customHeight="1">
      <c r="B9" t="s" s="11">
        <v>8</v>
      </c>
      <c r="C9" s="20">
        <f>C6+C8</f>
        <v>97.915416072176</v>
      </c>
      <c r="D9" s="21">
        <f>D6+D8</f>
        <v>94.977953590011</v>
      </c>
      <c r="E9" s="21">
        <f>E6+E8</f>
        <v>99.726851269511</v>
      </c>
      <c r="F9" s="21">
        <f>F6+F8</f>
        <v>106.707730858377</v>
      </c>
    </row>
    <row r="10" ht="20.05" customHeight="1">
      <c r="B10" t="s" s="11">
        <v>9</v>
      </c>
      <c r="C10" s="22">
        <f>AVERAGE('Cashflow'!E19:E20)</f>
        <v>-45.4</v>
      </c>
      <c r="D10" s="23">
        <f>C10</f>
        <v>-45.4</v>
      </c>
      <c r="E10" s="23">
        <f>D10</f>
        <v>-45.4</v>
      </c>
      <c r="F10" s="23">
        <f>E10</f>
        <v>-45.4</v>
      </c>
    </row>
    <row r="11" ht="20.05" customHeight="1">
      <c r="B11" t="s" s="11">
        <v>10</v>
      </c>
      <c r="C11" s="22">
        <f>C12+C15+C13</f>
        <v>-51.7515416072176</v>
      </c>
      <c r="D11" s="23">
        <f>D12+D15+D13</f>
        <v>-49.2677953590011</v>
      </c>
      <c r="E11" s="23">
        <f>E12+E15+E13</f>
        <v>-47.6621851269511</v>
      </c>
      <c r="F11" s="23">
        <f>F12+F15+F13</f>
        <v>-46.3837980858377</v>
      </c>
    </row>
    <row r="12" ht="20.05" customHeight="1">
      <c r="B12" t="s" s="11">
        <v>11</v>
      </c>
      <c r="C12" s="22">
        <f>-('Balance sheet'!G17)/20</f>
        <v>-43.8</v>
      </c>
      <c r="D12" s="23">
        <f>-C26/20</f>
        <v>-41.61</v>
      </c>
      <c r="E12" s="23">
        <f>-D26/20</f>
        <v>-39.5295</v>
      </c>
      <c r="F12" s="23">
        <f>-E26/20</f>
        <v>-37.553025</v>
      </c>
    </row>
    <row r="13" ht="20.05" customHeight="1">
      <c r="B13" t="s" s="11">
        <v>12</v>
      </c>
      <c r="C13" s="24">
        <f>IF(C21&gt;0,-C21*0.1,0)</f>
        <v>-7.9515416072176</v>
      </c>
      <c r="D13" s="25">
        <f>IF(D21&gt;0,-D21*0.1,0)</f>
        <v>-7.6577953590011</v>
      </c>
      <c r="E13" s="25">
        <f>IF(E21&gt;0,-E21*0.1,0)</f>
        <v>-8.132685126951101</v>
      </c>
      <c r="F13" s="25">
        <f>IF(F21&gt;0,-F21*0.1,0)</f>
        <v>-8.8307730858377</v>
      </c>
    </row>
    <row r="14" ht="20.05" customHeight="1">
      <c r="B14" t="s" s="11">
        <v>13</v>
      </c>
      <c r="C14" s="22">
        <f>C9+C10+C12+C13</f>
        <v>0.7638744649583999</v>
      </c>
      <c r="D14" s="23">
        <f>D9+D10+D12+D13</f>
        <v>0.3101582310099</v>
      </c>
      <c r="E14" s="23">
        <f>E9+E10+E12+E13</f>
        <v>6.6646661425599</v>
      </c>
      <c r="F14" s="23">
        <f>F9+F10+F12+F13</f>
        <v>14.9239327725393</v>
      </c>
    </row>
    <row r="15" ht="20.05" customHeight="1">
      <c r="B15" t="s" s="11">
        <v>14</v>
      </c>
      <c r="C15" s="22">
        <f>-MIN(0,C14)</f>
        <v>0</v>
      </c>
      <c r="D15" s="23">
        <f>-MIN(C27,D14)</f>
        <v>0</v>
      </c>
      <c r="E15" s="23">
        <f>-MIN(D27,E14)</f>
        <v>0</v>
      </c>
      <c r="F15" s="23">
        <f>-MIN(E27,F14)</f>
        <v>0</v>
      </c>
    </row>
    <row r="16" ht="20.05" customHeight="1">
      <c r="B16" t="s" s="11">
        <v>15</v>
      </c>
      <c r="C16" s="22">
        <f>'Balance sheet'!C17</f>
        <v>174.9</v>
      </c>
      <c r="D16" s="23">
        <f>C18</f>
        <v>175.663874464958</v>
      </c>
      <c r="E16" s="23">
        <f>D18</f>
        <v>175.974032695968</v>
      </c>
      <c r="F16" s="23">
        <f>E18</f>
        <v>182.638698838528</v>
      </c>
    </row>
    <row r="17" ht="20.05" customHeight="1">
      <c r="B17" t="s" s="11">
        <v>16</v>
      </c>
      <c r="C17" s="22">
        <f>C9+C10+C11</f>
        <v>0.7638744649583999</v>
      </c>
      <c r="D17" s="23">
        <f>D9+D10+D11</f>
        <v>0.3101582310099</v>
      </c>
      <c r="E17" s="23">
        <f>E9+E10+E11</f>
        <v>6.6646661425599</v>
      </c>
      <c r="F17" s="23">
        <f>F9+F10+F11</f>
        <v>14.9239327725393</v>
      </c>
    </row>
    <row r="18" ht="20.05" customHeight="1">
      <c r="B18" t="s" s="11">
        <v>17</v>
      </c>
      <c r="C18" s="22">
        <f>C16+C17</f>
        <v>175.663874464958</v>
      </c>
      <c r="D18" s="23">
        <f>D16+D17</f>
        <v>175.974032695968</v>
      </c>
      <c r="E18" s="23">
        <f>E16+E17</f>
        <v>182.638698838528</v>
      </c>
      <c r="F18" s="23">
        <f>F16+F17</f>
        <v>197.562631611067</v>
      </c>
    </row>
    <row r="19" ht="20.05" customHeight="1">
      <c r="B19" t="s" s="26">
        <v>18</v>
      </c>
      <c r="C19" s="27"/>
      <c r="D19" s="28"/>
      <c r="E19" s="28"/>
      <c r="F19" s="29"/>
    </row>
    <row r="20" ht="20.05" customHeight="1">
      <c r="B20" t="s" s="11">
        <v>19</v>
      </c>
      <c r="C20" s="22">
        <f>-AVERAGE('Sales'!E14)</f>
        <v>-18.4</v>
      </c>
      <c r="D20" s="23">
        <f>C20</f>
        <v>-18.4</v>
      </c>
      <c r="E20" s="23">
        <f>D20</f>
        <v>-18.4</v>
      </c>
      <c r="F20" s="23">
        <f>E20</f>
        <v>-18.4</v>
      </c>
    </row>
    <row r="21" ht="20.05" customHeight="1">
      <c r="B21" t="s" s="11">
        <v>20</v>
      </c>
      <c r="C21" s="22">
        <f>C6+C8+C20</f>
        <v>79.515416072176</v>
      </c>
      <c r="D21" s="23">
        <f>D6+D8+D20</f>
        <v>76.57795359001101</v>
      </c>
      <c r="E21" s="23">
        <f>E6+E8+E20</f>
        <v>81.326851269511</v>
      </c>
      <c r="F21" s="23">
        <f>F6+F8+F20</f>
        <v>88.307730858377</v>
      </c>
    </row>
    <row r="22" ht="20.05" customHeight="1">
      <c r="B22" t="s" s="26">
        <v>21</v>
      </c>
      <c r="C22" s="27"/>
      <c r="D22" s="28"/>
      <c r="E22" s="28"/>
      <c r="F22" s="28"/>
    </row>
    <row r="23" ht="20.05" customHeight="1">
      <c r="B23" t="s" s="11">
        <v>22</v>
      </c>
      <c r="C23" s="18">
        <f>'Balance sheet'!E17+'Balance sheet'!F17-C10</f>
        <v>2164.7</v>
      </c>
      <c r="D23" s="19">
        <f>C23-D10</f>
        <v>2210.1</v>
      </c>
      <c r="E23" s="19">
        <f>D23-E10</f>
        <v>2255.5</v>
      </c>
      <c r="F23" s="19">
        <f>E23-F10</f>
        <v>2300.9</v>
      </c>
    </row>
    <row r="24" ht="20.05" customHeight="1">
      <c r="B24" t="s" s="11">
        <v>23</v>
      </c>
      <c r="C24" s="18">
        <f>'Balance sheet'!F17-C20</f>
        <v>685.4</v>
      </c>
      <c r="D24" s="19">
        <f>C24-D20</f>
        <v>703.8</v>
      </c>
      <c r="E24" s="19">
        <f>D24-E20</f>
        <v>722.2</v>
      </c>
      <c r="F24" s="19">
        <f>E24-F20</f>
        <v>740.6</v>
      </c>
    </row>
    <row r="25" ht="20.05" customHeight="1">
      <c r="B25" t="s" s="11">
        <v>24</v>
      </c>
      <c r="C25" s="18">
        <f>C23-C24</f>
        <v>1479.3</v>
      </c>
      <c r="D25" s="19">
        <f>D23-D24</f>
        <v>1506.3</v>
      </c>
      <c r="E25" s="19">
        <f>E23-E24</f>
        <v>1533.3</v>
      </c>
      <c r="F25" s="19">
        <f>F23-F24</f>
        <v>1560.3</v>
      </c>
    </row>
    <row r="26" ht="20.05" customHeight="1">
      <c r="B26" t="s" s="11">
        <v>11</v>
      </c>
      <c r="C26" s="18">
        <f>'Balance sheet'!G17+C12</f>
        <v>832.2</v>
      </c>
      <c r="D26" s="19">
        <f>C26+D12</f>
        <v>790.59</v>
      </c>
      <c r="E26" s="19">
        <f>D26+E12</f>
        <v>751.0605</v>
      </c>
      <c r="F26" s="19">
        <f>E26+F12</f>
        <v>713.507475</v>
      </c>
    </row>
    <row r="27" ht="20.05" customHeight="1">
      <c r="B27" t="s" s="11">
        <v>25</v>
      </c>
      <c r="C27" s="18">
        <f>C15</f>
        <v>0</v>
      </c>
      <c r="D27" s="19">
        <f>C27+D15</f>
        <v>0</v>
      </c>
      <c r="E27" s="19">
        <f>D27+E15</f>
        <v>0</v>
      </c>
      <c r="F27" s="19">
        <f>E27+F15</f>
        <v>0</v>
      </c>
    </row>
    <row r="28" ht="20.05" customHeight="1">
      <c r="B28" t="s" s="11">
        <v>12</v>
      </c>
      <c r="C28" s="18">
        <f>'Balance sheet'!H17+C21+C13</f>
        <v>822.563874464958</v>
      </c>
      <c r="D28" s="19">
        <f>C28+D21+D13</f>
        <v>891.484032695968</v>
      </c>
      <c r="E28" s="19">
        <f>D28+E21+E13</f>
        <v>964.678198838528</v>
      </c>
      <c r="F28" s="19">
        <f>E28+F21+F13</f>
        <v>1044.155156611070</v>
      </c>
    </row>
    <row r="29" ht="20.05" customHeight="1">
      <c r="B29" t="s" s="11">
        <v>26</v>
      </c>
      <c r="C29" s="18">
        <f>C26+C27+C28-C18-C25</f>
        <v>-0.2</v>
      </c>
      <c r="D29" s="19">
        <f>D26+D27+D28-D18-D25</f>
        <v>-0.2</v>
      </c>
      <c r="E29" s="19">
        <f>E26+E27+E28-E18-E25</f>
        <v>-0.2</v>
      </c>
      <c r="F29" s="19">
        <f>F26+F27+F28-F18-F25</f>
        <v>-0.199999999997</v>
      </c>
    </row>
    <row r="30" ht="20.05" customHeight="1">
      <c r="B30" t="s" s="11">
        <v>27</v>
      </c>
      <c r="C30" s="18">
        <f>C18-C26-C27</f>
        <v>-656.5361255350419</v>
      </c>
      <c r="D30" s="19">
        <f>D18-D26-D27</f>
        <v>-614.615967304032</v>
      </c>
      <c r="E30" s="19">
        <f>E18-E26-E27</f>
        <v>-568.421801161472</v>
      </c>
      <c r="F30" s="19">
        <f>F18-F26-F27</f>
        <v>-515.944843388933</v>
      </c>
    </row>
    <row r="31" ht="20.05" customHeight="1">
      <c r="B31" t="s" s="26">
        <v>28</v>
      </c>
      <c r="C31" s="18"/>
      <c r="D31" s="19"/>
      <c r="E31" s="19"/>
      <c r="F31" s="19"/>
    </row>
    <row r="32" ht="20.05" customHeight="1">
      <c r="B32" t="s" s="11">
        <v>29</v>
      </c>
      <c r="C32" s="18">
        <f>'Cashflow'!L20-C11</f>
        <v>-93.20645839278239</v>
      </c>
      <c r="D32" s="19">
        <f>C32-D11</f>
        <v>-43.9386630337813</v>
      </c>
      <c r="E32" s="19">
        <f>D32-E11</f>
        <v>3.7235220931698</v>
      </c>
      <c r="F32" s="19">
        <f>E32-F11</f>
        <v>50.1073201790075</v>
      </c>
    </row>
    <row r="33" ht="20.05" customHeight="1">
      <c r="B33" t="s" s="11">
        <v>30</v>
      </c>
      <c r="C33" s="18"/>
      <c r="D33" s="19"/>
      <c r="E33" s="19"/>
      <c r="F33" s="19">
        <v>1066</v>
      </c>
    </row>
    <row r="34" ht="20.05" customHeight="1">
      <c r="B34" t="s" s="11">
        <v>31</v>
      </c>
      <c r="C34" s="18"/>
      <c r="D34" s="19"/>
      <c r="E34" s="19"/>
      <c r="F34" s="30">
        <f>F33/(F18+F25)</f>
        <v>0.60641826092123</v>
      </c>
    </row>
    <row r="35" ht="20.05" customHeight="1">
      <c r="B35" t="s" s="11">
        <v>32</v>
      </c>
      <c r="C35" s="18"/>
      <c r="D35" s="19"/>
      <c r="E35" s="19"/>
      <c r="F35" s="31">
        <f>-(C13+D13+E13+F13)/F33</f>
        <v>0.0305560930384686</v>
      </c>
    </row>
    <row r="36" ht="20.05" customHeight="1">
      <c r="B36" t="s" s="11">
        <v>3</v>
      </c>
      <c r="C36" s="18"/>
      <c r="D36" s="19"/>
      <c r="E36" s="19"/>
      <c r="F36" s="19">
        <f>SUM(C9:F10)</f>
        <v>217.727951790075</v>
      </c>
    </row>
    <row r="37" ht="20.05" customHeight="1">
      <c r="B37" t="s" s="11">
        <v>33</v>
      </c>
      <c r="C37" s="18"/>
      <c r="D37" s="19"/>
      <c r="E37" s="19"/>
      <c r="F37" s="19">
        <f>'Balance sheet'!E17/F36</f>
        <v>6.67025059511078</v>
      </c>
    </row>
    <row r="38" ht="20.05" customHeight="1">
      <c r="B38" t="s" s="11">
        <v>28</v>
      </c>
      <c r="C38" s="18"/>
      <c r="D38" s="19"/>
      <c r="E38" s="19"/>
      <c r="F38" s="19">
        <f>F33/F36</f>
        <v>4.89601813288446</v>
      </c>
    </row>
    <row r="39" ht="20.05" customHeight="1">
      <c r="B39" t="s" s="11">
        <v>34</v>
      </c>
      <c r="C39" s="18"/>
      <c r="D39" s="19"/>
      <c r="E39" s="19"/>
      <c r="F39" s="19">
        <v>8</v>
      </c>
    </row>
    <row r="40" ht="20.05" customHeight="1">
      <c r="B40" t="s" s="11">
        <v>35</v>
      </c>
      <c r="C40" s="18"/>
      <c r="D40" s="19"/>
      <c r="E40" s="19"/>
      <c r="F40" s="19">
        <f>F36*F39</f>
        <v>1741.8236143206</v>
      </c>
    </row>
    <row r="41" ht="20.05" customHeight="1">
      <c r="B41" t="s" s="11">
        <v>36</v>
      </c>
      <c r="C41" s="18"/>
      <c r="D41" s="19"/>
      <c r="E41" s="19"/>
      <c r="F41" s="19">
        <f>F33/F43</f>
        <v>2.05</v>
      </c>
    </row>
    <row r="42" ht="20.05" customHeight="1">
      <c r="B42" t="s" s="11">
        <v>37</v>
      </c>
      <c r="C42" s="18"/>
      <c r="D42" s="19"/>
      <c r="E42" s="19"/>
      <c r="F42" s="19">
        <f>F40/F41</f>
        <v>849.670055766146</v>
      </c>
    </row>
    <row r="43" ht="20.05" customHeight="1">
      <c r="B43" t="s" s="11">
        <v>38</v>
      </c>
      <c r="C43" s="18"/>
      <c r="D43" s="19"/>
      <c r="E43" s="19"/>
      <c r="F43" s="19">
        <f>'Share price'!C26</f>
        <v>520</v>
      </c>
    </row>
    <row r="44" ht="20.05" customHeight="1">
      <c r="B44" t="s" s="11">
        <v>39</v>
      </c>
      <c r="C44" s="18"/>
      <c r="D44" s="19"/>
      <c r="E44" s="19"/>
      <c r="F44" s="31">
        <f>F42/F43-1</f>
        <v>0.633980876473358</v>
      </c>
    </row>
    <row r="45" ht="20.05" customHeight="1">
      <c r="B45" t="s" s="11">
        <v>40</v>
      </c>
      <c r="C45" s="18"/>
      <c r="D45" s="19"/>
      <c r="E45" s="19"/>
      <c r="F45" s="31">
        <f>'Sales'!C14/'Sales'!C10-1</f>
        <v>0.388538380651945</v>
      </c>
    </row>
    <row r="46" ht="20.05" customHeight="1">
      <c r="B46" t="s" s="11">
        <v>41</v>
      </c>
      <c r="C46" s="18"/>
      <c r="D46" s="19"/>
      <c r="E46" s="19"/>
      <c r="F46" s="31">
        <f>('Sales'!D12+'Sales'!D14+'Sales'!D13)/('Sales'!C12+'Sales'!C14+'Sales'!C13)-1</f>
        <v>-0.0266715160796325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7969" style="32" customWidth="1"/>
    <col min="2" max="2" width="9.95312" style="32" customWidth="1"/>
    <col min="3" max="11" width="9.54688" style="32" customWidth="1"/>
    <col min="12" max="16384" width="16.3516" style="32" customWidth="1"/>
  </cols>
  <sheetData>
    <row r="1" ht="43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33">
        <v>42</v>
      </c>
      <c r="C3" t="s" s="33">
        <v>5</v>
      </c>
      <c r="D3" t="s" s="33">
        <v>34</v>
      </c>
      <c r="E3" t="s" s="33">
        <v>23</v>
      </c>
      <c r="F3" t="s" s="33">
        <v>43</v>
      </c>
      <c r="G3" t="s" s="33">
        <v>44</v>
      </c>
      <c r="H3" t="s" s="33">
        <v>45</v>
      </c>
      <c r="I3" t="s" s="33">
        <v>6</v>
      </c>
      <c r="J3" t="s" s="33">
        <v>46</v>
      </c>
      <c r="K3" t="s" s="33">
        <v>46</v>
      </c>
    </row>
    <row r="4" ht="20.25" customHeight="1">
      <c r="B4" s="34">
        <v>2019</v>
      </c>
      <c r="C4" s="35">
        <v>108.6</v>
      </c>
      <c r="D4" s="36"/>
      <c r="E4" s="36">
        <v>0</v>
      </c>
      <c r="F4" s="36">
        <v>13.96</v>
      </c>
      <c r="G4" s="36">
        <v>6.3</v>
      </c>
      <c r="H4" s="37"/>
      <c r="I4" s="37">
        <f>(E4+G4-F4-C4)/C4</f>
        <v>-1.07053406998158</v>
      </c>
      <c r="J4" s="37"/>
      <c r="K4" s="37">
        <f>('Cashflow'!F10+'Cashflow'!D10-'Cashflow'!C10)/'Cashflow'!C10</f>
        <v>-0.775092936802974</v>
      </c>
    </row>
    <row r="5" ht="20.05" customHeight="1">
      <c r="B5" s="38"/>
      <c r="C5" s="24">
        <v>114.8</v>
      </c>
      <c r="D5" s="25"/>
      <c r="E5" s="25">
        <v>31.292</v>
      </c>
      <c r="F5" s="25">
        <v>13.74</v>
      </c>
      <c r="G5" s="25">
        <v>-1.9</v>
      </c>
      <c r="H5" s="13">
        <f>C5/C4-1</f>
        <v>0.0570902394106814</v>
      </c>
      <c r="I5" s="13">
        <f>(E5+G5-F5-C5)/C5</f>
        <v>-0.863658536585366</v>
      </c>
      <c r="J5" s="13">
        <f>AVERAGE(K3:K5)</f>
        <v>-0.921497085685437</v>
      </c>
      <c r="K5" s="13">
        <f>('Cashflow'!F11+'Cashflow'!D11-'Cashflow'!C11)/'Cashflow'!C11</f>
        <v>-1.0679012345679</v>
      </c>
    </row>
    <row r="6" ht="20.05" customHeight="1">
      <c r="B6" s="38"/>
      <c r="C6" s="24">
        <v>150.6</v>
      </c>
      <c r="D6" s="28"/>
      <c r="E6" s="25">
        <f>36.4+1.2+2.9+0.23-E5-E4</f>
        <v>9.438000000000001</v>
      </c>
      <c r="F6" s="25">
        <v>-14.7</v>
      </c>
      <c r="G6" s="25">
        <v>9.6</v>
      </c>
      <c r="H6" s="13">
        <f>C6/C5-1</f>
        <v>0.31184668989547</v>
      </c>
      <c r="I6" s="13">
        <f>(E6+G6-F6-C6)/C6</f>
        <v>-0.77597609561753</v>
      </c>
      <c r="J6" s="13">
        <f>AVERAGE(K3:K6)</f>
        <v>-0.855072131197699</v>
      </c>
      <c r="K6" s="13">
        <f>('Cashflow'!F12+'Cashflow'!D12-'Cashflow'!C12)/'Cashflow'!C12</f>
        <v>-0.722222222222222</v>
      </c>
    </row>
    <row r="7" ht="20.05" customHeight="1">
      <c r="B7" s="38"/>
      <c r="C7" s="24">
        <f>492-C6-C5-C4</f>
        <v>118</v>
      </c>
      <c r="D7" s="28"/>
      <c r="E7" s="25">
        <f>48+1.5+4+0.3-E6-E5</f>
        <v>13.07</v>
      </c>
      <c r="F7" s="25">
        <f>25-F6-F5-F4</f>
        <v>12</v>
      </c>
      <c r="G7" s="25">
        <f>29-G6-G5-G4</f>
        <v>15</v>
      </c>
      <c r="H7" s="13">
        <f>C7/C6-1</f>
        <v>-0.216467463479416</v>
      </c>
      <c r="I7" s="13">
        <f>(E7+G7-F7-C7)/C7</f>
        <v>-0.863813559322034</v>
      </c>
      <c r="J7" s="13">
        <f>AVERAGE(K4:K7)</f>
        <v>-0.842158799252975</v>
      </c>
      <c r="K7" s="13">
        <f>('Cashflow'!F13+'Cashflow'!D13-'Cashflow'!C13)/'Cashflow'!C13</f>
        <v>-0.803418803418803</v>
      </c>
    </row>
    <row r="8" ht="20.05" customHeight="1">
      <c r="B8" s="39">
        <v>2020</v>
      </c>
      <c r="C8" s="24">
        <v>146</v>
      </c>
      <c r="D8" s="28"/>
      <c r="E8" s="25">
        <v>18.129</v>
      </c>
      <c r="F8" s="25">
        <v>13</v>
      </c>
      <c r="G8" s="25">
        <v>32</v>
      </c>
      <c r="H8" s="13">
        <f>C8/C7-1</f>
        <v>0.23728813559322</v>
      </c>
      <c r="I8" s="13">
        <f>(E8+G8-F8-C8)/C8</f>
        <v>-0.745691780821918</v>
      </c>
      <c r="J8" s="13">
        <f>AVERAGE(K5:K8)</f>
        <v>-0.872161788828455</v>
      </c>
      <c r="K8" s="13">
        <f>('Cashflow'!F14+'Cashflow'!D14-'Cashflow'!C14)/'Cashflow'!C14</f>
        <v>-0.895104895104895</v>
      </c>
    </row>
    <row r="9" ht="20.05" customHeight="1">
      <c r="B9" s="38"/>
      <c r="C9" s="24">
        <v>114.8</v>
      </c>
      <c r="D9" s="28"/>
      <c r="E9" s="25">
        <v>18.961</v>
      </c>
      <c r="F9" s="25">
        <v>14</v>
      </c>
      <c r="G9" s="25">
        <v>11</v>
      </c>
      <c r="H9" s="13">
        <f>C9/C8-1</f>
        <v>-0.213698630136986</v>
      </c>
      <c r="I9" s="13">
        <f>(E9+G9-F9-C9)/C9</f>
        <v>-0.860966898954704</v>
      </c>
      <c r="J9" s="13">
        <f>AVERAGE(K6:K9)</f>
        <v>-0.82298951048951</v>
      </c>
      <c r="K9" s="13">
        <f>('Cashflow'!F15+'Cashflow'!D15-'Cashflow'!C15)/'Cashflow'!C15</f>
        <v>-0.871212121212121</v>
      </c>
    </row>
    <row r="10" ht="20.05" customHeight="1">
      <c r="B10" s="38"/>
      <c r="C10" s="24">
        <v>190.2</v>
      </c>
      <c r="D10" s="28"/>
      <c r="E10" s="25">
        <f>25.7+29.6+(1.1-0.9)-E9-E8</f>
        <v>18.41</v>
      </c>
      <c r="F10" s="25">
        <f>10-F9-F8</f>
        <v>-17</v>
      </c>
      <c r="G10" s="25">
        <v>21</v>
      </c>
      <c r="H10" s="13">
        <f>C10/C9-1</f>
        <v>0.6567944250871079</v>
      </c>
      <c r="I10" s="13">
        <f>(E10+G10-F10-C10)/C10</f>
        <v>-0.7034174553101999</v>
      </c>
      <c r="J10" s="13">
        <f>AVERAGE(K7:K10)</f>
        <v>-0.785899864024864</v>
      </c>
      <c r="K10" s="13">
        <f>('Cashflow'!F16+'Cashflow'!D16-'Cashflow'!C16)/'Cashflow'!C16</f>
        <v>-0.573863636363636</v>
      </c>
    </row>
    <row r="11" ht="20.05" customHeight="1">
      <c r="B11" s="38"/>
      <c r="C11" s="24">
        <f>607.2-SUM(C8:C10)</f>
        <v>156.2</v>
      </c>
      <c r="D11" s="28"/>
      <c r="E11" s="25">
        <f>35.9+39.1+0.3-SUM(E8:E10)</f>
        <v>19.8</v>
      </c>
      <c r="F11" s="25">
        <f>6.3-SUM(F8:F10)</f>
        <v>-3.7</v>
      </c>
      <c r="G11" s="25">
        <f>72.4-SUM(G8:G10)</f>
        <v>8.4</v>
      </c>
      <c r="H11" s="13">
        <f>C11/C10-1</f>
        <v>-0.17875920084122</v>
      </c>
      <c r="I11" s="13">
        <f>(E11+G11-F11-C11)/C11</f>
        <v>-0.795774647887324</v>
      </c>
      <c r="J11" s="13">
        <f>AVERAGE(K8:K11)</f>
        <v>-0.7368886301818059</v>
      </c>
      <c r="K11" s="13">
        <f>('Cashflow'!F17+'Cashflow'!D17-'Cashflow'!C17)/'Cashflow'!C17</f>
        <v>-0.607373868046572</v>
      </c>
    </row>
    <row r="12" ht="20.05" customHeight="1">
      <c r="B12" s="39">
        <v>2021</v>
      </c>
      <c r="C12" s="24">
        <v>176</v>
      </c>
      <c r="D12" s="25">
        <v>207.7935</v>
      </c>
      <c r="E12" s="25">
        <f>9.4+9</f>
        <v>18.4</v>
      </c>
      <c r="F12" s="25">
        <v>4.8</v>
      </c>
      <c r="G12" s="25">
        <v>41.4</v>
      </c>
      <c r="H12" s="13">
        <f>C12/C11-1</f>
        <v>0.126760563380282</v>
      </c>
      <c r="I12" s="13">
        <f>(E12+G12-F12-C12)/C12</f>
        <v>-0.6875</v>
      </c>
      <c r="J12" s="13">
        <f>AVERAGE(K9:K12)</f>
        <v>-0.6774445107731381</v>
      </c>
      <c r="K12" s="13">
        <f>('Cashflow'!F18+'Cashflow'!D18-'Cashflow'!C18)/'Cashflow'!C18</f>
        <v>-0.657328417470221</v>
      </c>
    </row>
    <row r="13" ht="20.05" customHeight="1">
      <c r="B13" s="38"/>
      <c r="C13" s="24">
        <f>388.9-C12</f>
        <v>212.9</v>
      </c>
      <c r="D13" s="21">
        <v>193.6</v>
      </c>
      <c r="E13" s="25">
        <f>18.7+18.1-E12</f>
        <v>18.4</v>
      </c>
      <c r="F13" s="25">
        <f>6.4-F12</f>
        <v>1.6</v>
      </c>
      <c r="G13" s="25">
        <f>83.4-G12</f>
        <v>42</v>
      </c>
      <c r="H13" s="13">
        <f>C13/C12-1</f>
        <v>0.209659090909091</v>
      </c>
      <c r="I13" s="13">
        <f>(E13+G13-F13-C13)/C13</f>
        <v>-0.723813997181775</v>
      </c>
      <c r="J13" s="13">
        <f>AVERAGE(K10:K13)</f>
        <v>-0.672103691145592</v>
      </c>
      <c r="K13" s="13">
        <f>('Cashflow'!F19+'Cashflow'!D19-'Cashflow'!C19)/'Cashflow'!C19</f>
        <v>-0.8498488427019369</v>
      </c>
    </row>
    <row r="14" ht="20.05" customHeight="1">
      <c r="B14" s="38"/>
      <c r="C14" s="24">
        <f>653-SUM(C12:C13)</f>
        <v>264.1</v>
      </c>
      <c r="D14" s="28">
        <v>234.19</v>
      </c>
      <c r="E14" s="25">
        <f>0.1+28+27.1-SUM(E12:E13)</f>
        <v>18.4</v>
      </c>
      <c r="F14" s="25">
        <f>8.7-SUM(F12:F13)</f>
        <v>2.3</v>
      </c>
      <c r="G14" s="25">
        <f>178.7-SUM(G12:G13)</f>
        <v>95.3</v>
      </c>
      <c r="H14" s="13">
        <f>C14/C13-1</f>
        <v>0.240488492249883</v>
      </c>
      <c r="I14" s="13">
        <f>(E14+G14-F14-C14)/C14</f>
        <v>-0.578190079515335</v>
      </c>
      <c r="J14" s="13">
        <f>AVERAGE(K11:K14)</f>
        <v>-0.662953371408295</v>
      </c>
      <c r="K14" s="13">
        <f>('Cashflow'!F20+'Cashflow'!D20-'Cashflow'!C20)/'Cashflow'!C20</f>
        <v>-0.5372623574144491</v>
      </c>
    </row>
    <row r="15" ht="20.05" customHeight="1">
      <c r="B15" s="38"/>
      <c r="C15" s="24"/>
      <c r="D15" s="28">
        <f>'Model'!C6</f>
        <v>290.51</v>
      </c>
      <c r="E15" s="25"/>
      <c r="F15" s="25"/>
      <c r="G15" s="25"/>
      <c r="H15" s="13"/>
      <c r="I15" s="13">
        <f>'Model'!C7</f>
        <v>-0.662953371408295</v>
      </c>
      <c r="J15" s="13"/>
      <c r="K15" s="13"/>
    </row>
    <row r="16" ht="20.05" customHeight="1">
      <c r="B16" s="39">
        <v>2022</v>
      </c>
      <c r="C16" s="24"/>
      <c r="D16" s="21">
        <f>'Model'!D6</f>
        <v>281.7947</v>
      </c>
      <c r="E16" s="25"/>
      <c r="F16" s="25"/>
      <c r="G16" s="25"/>
      <c r="H16" s="40"/>
      <c r="I16" s="40"/>
      <c r="J16" s="40"/>
      <c r="K16" s="40"/>
    </row>
    <row r="17" ht="20.05" customHeight="1">
      <c r="B17" s="38"/>
      <c r="C17" s="24"/>
      <c r="D17" s="25">
        <f>'Model'!E6</f>
        <v>295.884435</v>
      </c>
      <c r="E17" s="25"/>
      <c r="F17" s="25"/>
      <c r="G17" s="25"/>
      <c r="H17" s="40"/>
      <c r="I17" s="40"/>
      <c r="J17" s="40"/>
      <c r="K17" s="40"/>
    </row>
    <row r="18" ht="20.05" customHeight="1">
      <c r="B18" s="38"/>
      <c r="C18" s="24"/>
      <c r="D18" s="25">
        <f>'Model'!F6</f>
        <v>316.59634545</v>
      </c>
      <c r="E18" s="25"/>
      <c r="F18" s="25"/>
      <c r="G18" s="25"/>
      <c r="H18" s="40"/>
      <c r="I18" s="40"/>
      <c r="J18" s="40"/>
      <c r="K18" s="40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82031" style="41" customWidth="1"/>
    <col min="2" max="2" width="8.26562" style="41" customWidth="1"/>
    <col min="3" max="12" width="10.3516" style="41" customWidth="1"/>
    <col min="13" max="16384" width="16.3516" style="41" customWidth="1"/>
  </cols>
  <sheetData>
    <row r="1" ht="46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33">
        <v>42</v>
      </c>
      <c r="C3" t="s" s="33">
        <v>47</v>
      </c>
      <c r="D3" t="s" s="33">
        <v>48</v>
      </c>
      <c r="E3" t="s" s="33">
        <v>49</v>
      </c>
      <c r="F3" t="s" s="33">
        <v>50</v>
      </c>
      <c r="G3" t="s" s="33">
        <v>11</v>
      </c>
      <c r="H3" t="s" s="33">
        <v>12</v>
      </c>
      <c r="I3" t="s" s="33">
        <v>51</v>
      </c>
      <c r="J3" t="s" s="33">
        <v>52</v>
      </c>
      <c r="K3" t="s" s="33">
        <v>3</v>
      </c>
      <c r="L3" t="s" s="33">
        <v>29</v>
      </c>
    </row>
    <row r="4" ht="20.05" customHeight="1">
      <c r="B4" s="34">
        <v>2016</v>
      </c>
      <c r="C4" s="35">
        <v>520</v>
      </c>
      <c r="D4" s="36">
        <v>129</v>
      </c>
      <c r="E4" s="36">
        <v>-40</v>
      </c>
      <c r="F4" s="36">
        <v>-61.8</v>
      </c>
      <c r="G4" s="42"/>
      <c r="H4" s="42"/>
      <c r="I4" s="36">
        <v>-13.2</v>
      </c>
      <c r="J4" s="36">
        <f>F4+D4+E4</f>
        <v>27.2</v>
      </c>
      <c r="K4" s="36"/>
      <c r="L4" s="36">
        <f>-(I4-F4)</f>
        <v>-48.6</v>
      </c>
    </row>
    <row r="5" ht="20.05" customHeight="1">
      <c r="B5" s="39">
        <v>2017</v>
      </c>
      <c r="C5" s="24">
        <v>616</v>
      </c>
      <c r="D5" s="25">
        <v>195</v>
      </c>
      <c r="E5" s="25">
        <v>-43.9</v>
      </c>
      <c r="F5" s="25">
        <v>-60.2</v>
      </c>
      <c r="G5" s="29"/>
      <c r="H5" s="29"/>
      <c r="I5" s="25">
        <v>12.7</v>
      </c>
      <c r="J5" s="25">
        <f>F5+D5+E5</f>
        <v>90.90000000000001</v>
      </c>
      <c r="K5" s="25"/>
      <c r="L5" s="25">
        <f>-(I5-F5)+L4</f>
        <v>-121.5</v>
      </c>
    </row>
    <row r="6" ht="20.05" customHeight="1">
      <c r="B6" s="39">
        <v>2018</v>
      </c>
      <c r="C6" s="24">
        <v>0</v>
      </c>
      <c r="D6" s="25">
        <f>D7</f>
        <v>17</v>
      </c>
      <c r="E6" s="25">
        <f>E7</f>
        <v>-21.5</v>
      </c>
      <c r="F6" s="25">
        <f>F7</f>
        <v>-21.5</v>
      </c>
      <c r="G6" s="29"/>
      <c r="H6" s="29"/>
      <c r="I6" s="25">
        <f>I7</f>
        <v>-59</v>
      </c>
      <c r="J6" s="25">
        <f>F6+D6+E6</f>
        <v>-26</v>
      </c>
      <c r="K6" s="28"/>
      <c r="L6" s="25">
        <f>-(I6-F6)+L5</f>
        <v>-84</v>
      </c>
    </row>
    <row r="7" ht="20.05" customHeight="1">
      <c r="B7" s="38"/>
      <c r="C7" s="24">
        <v>275</v>
      </c>
      <c r="D7" s="25">
        <f>34/2</f>
        <v>17</v>
      </c>
      <c r="E7" s="25">
        <f t="shared" si="11" ref="E7:F7">-43/2</f>
        <v>-21.5</v>
      </c>
      <c r="F7" s="25">
        <f t="shared" si="11"/>
        <v>-21.5</v>
      </c>
      <c r="G7" s="29"/>
      <c r="H7" s="29"/>
      <c r="I7" s="25">
        <f>-118/2</f>
        <v>-59</v>
      </c>
      <c r="J7" s="25">
        <f>F7+D7+E7</f>
        <v>-26</v>
      </c>
      <c r="K7" s="25"/>
      <c r="L7" s="25">
        <f>-(I7-F7)+L6</f>
        <v>-46.5</v>
      </c>
    </row>
    <row r="8" ht="20.05" customHeight="1">
      <c r="B8" s="38"/>
      <c r="C8" s="27"/>
      <c r="D8" s="25">
        <f>D9</f>
        <v>40</v>
      </c>
      <c r="E8" s="25">
        <f>E9</f>
        <v>-28</v>
      </c>
      <c r="F8" s="25">
        <f>F9</f>
        <v>-17.5</v>
      </c>
      <c r="G8" s="29"/>
      <c r="H8" s="29"/>
      <c r="I8" s="25">
        <f>I9</f>
        <v>42.5</v>
      </c>
      <c r="J8" s="25">
        <f>F8+D8+E8</f>
        <v>-5.5</v>
      </c>
      <c r="K8" s="28"/>
      <c r="L8" s="25">
        <f>-(I8-F8)+L7</f>
        <v>-106.5</v>
      </c>
    </row>
    <row r="9" ht="20.05" customHeight="1">
      <c r="B9" s="38"/>
      <c r="C9" s="24">
        <v>292</v>
      </c>
      <c r="D9" s="25">
        <f>80/2</f>
        <v>40</v>
      </c>
      <c r="E9" s="25">
        <f>-56/2</f>
        <v>-28</v>
      </c>
      <c r="F9" s="25">
        <f>-35/2</f>
        <v>-17.5</v>
      </c>
      <c r="G9" s="29"/>
      <c r="H9" s="29"/>
      <c r="I9" s="25">
        <f>85/2</f>
        <v>42.5</v>
      </c>
      <c r="J9" s="25">
        <f>F9+D9+E9</f>
        <v>-5.5</v>
      </c>
      <c r="K9" s="25"/>
      <c r="L9" s="25">
        <f>-(I9-F9)+L8</f>
        <v>-166.5</v>
      </c>
    </row>
    <row r="10" ht="20.05" customHeight="1">
      <c r="B10" s="39">
        <v>2019</v>
      </c>
      <c r="C10" s="24">
        <v>107.6</v>
      </c>
      <c r="D10" s="25">
        <v>42.6</v>
      </c>
      <c r="E10" s="25">
        <v>-104.5</v>
      </c>
      <c r="F10" s="25">
        <v>-18.4</v>
      </c>
      <c r="G10" s="29"/>
      <c r="H10" s="29"/>
      <c r="I10" s="25">
        <v>-18</v>
      </c>
      <c r="J10" s="25">
        <f>F10+D10+E10</f>
        <v>-80.3</v>
      </c>
      <c r="K10" s="25">
        <f>AVERAGE(J7:J10)</f>
        <v>-29.325</v>
      </c>
      <c r="L10" s="25">
        <f>-(I10-F10)+L9</f>
        <v>-166.9</v>
      </c>
    </row>
    <row r="11" ht="20.05" customHeight="1">
      <c r="B11" s="38"/>
      <c r="C11" s="24">
        <v>113.4</v>
      </c>
      <c r="D11" s="25">
        <v>11.4</v>
      </c>
      <c r="E11" s="25">
        <v>-23.5</v>
      </c>
      <c r="F11" s="25">
        <v>-19.1</v>
      </c>
      <c r="G11" s="29"/>
      <c r="H11" s="29"/>
      <c r="I11" s="25">
        <v>34.7</v>
      </c>
      <c r="J11" s="25">
        <f>F11+D11+E11</f>
        <v>-31.2</v>
      </c>
      <c r="K11" s="25">
        <f>AVERAGE(J8:J11)</f>
        <v>-30.625</v>
      </c>
      <c r="L11" s="25">
        <f>-(I11-F11)+L10</f>
        <v>-220.7</v>
      </c>
    </row>
    <row r="12" ht="20.05" customHeight="1">
      <c r="B12" s="38"/>
      <c r="C12" s="24">
        <v>153</v>
      </c>
      <c r="D12" s="25">
        <v>59</v>
      </c>
      <c r="E12" s="25">
        <v>-25</v>
      </c>
      <c r="F12" s="25">
        <v>-16.5</v>
      </c>
      <c r="G12" s="25"/>
      <c r="H12" s="25"/>
      <c r="I12" s="25">
        <v>-59.7</v>
      </c>
      <c r="J12" s="25">
        <f>F12+D12+E12</f>
        <v>17.5</v>
      </c>
      <c r="K12" s="25">
        <f>AVERAGE(J9:J12)</f>
        <v>-24.875</v>
      </c>
      <c r="L12" s="25">
        <f>-(I12-F12)+L11</f>
        <v>-177.5</v>
      </c>
    </row>
    <row r="13" ht="20.05" customHeight="1">
      <c r="B13" s="38"/>
      <c r="C13" s="24">
        <v>117</v>
      </c>
      <c r="D13" s="25">
        <v>45</v>
      </c>
      <c r="E13" s="25">
        <v>-31</v>
      </c>
      <c r="F13" s="25">
        <v>-22</v>
      </c>
      <c r="G13" s="25"/>
      <c r="H13" s="25"/>
      <c r="I13" s="25">
        <v>-9</v>
      </c>
      <c r="J13" s="25">
        <f>F13+D13+E13</f>
        <v>-8</v>
      </c>
      <c r="K13" s="25">
        <f>AVERAGE(J10:J13)</f>
        <v>-25.5</v>
      </c>
      <c r="L13" s="25">
        <f>-(I13-F13)+L12</f>
        <v>-190.5</v>
      </c>
    </row>
    <row r="14" ht="20.05" customHeight="1">
      <c r="B14" s="39">
        <v>2020</v>
      </c>
      <c r="C14" s="24">
        <v>143</v>
      </c>
      <c r="D14" s="25">
        <v>33</v>
      </c>
      <c r="E14" s="25">
        <v>-22</v>
      </c>
      <c r="F14" s="25">
        <v>-18</v>
      </c>
      <c r="G14" s="25"/>
      <c r="H14" s="25"/>
      <c r="I14" s="25">
        <v>6</v>
      </c>
      <c r="J14" s="25">
        <f>F14+D14+E14</f>
        <v>-7</v>
      </c>
      <c r="K14" s="25">
        <f>AVERAGE(J11:J14)</f>
        <v>-7.175</v>
      </c>
      <c r="L14" s="25">
        <f>-(I14-F14)+L13</f>
        <v>-214.5</v>
      </c>
    </row>
    <row r="15" ht="20.05" customHeight="1">
      <c r="B15" s="38"/>
      <c r="C15" s="24">
        <v>132</v>
      </c>
      <c r="D15" s="25">
        <v>35</v>
      </c>
      <c r="E15" s="25">
        <v>-11</v>
      </c>
      <c r="F15" s="25">
        <v>-18</v>
      </c>
      <c r="G15" s="25"/>
      <c r="H15" s="25"/>
      <c r="I15" s="25">
        <f>-39-I14</f>
        <v>-45</v>
      </c>
      <c r="J15" s="25">
        <f>F15+D15+E15</f>
        <v>6</v>
      </c>
      <c r="K15" s="25">
        <f>AVERAGE(J12:J15)</f>
        <v>2.125</v>
      </c>
      <c r="L15" s="25">
        <f>-(I15-F15)+L14</f>
        <v>-187.5</v>
      </c>
    </row>
    <row r="16" ht="20.05" customHeight="1">
      <c r="B16" s="38"/>
      <c r="C16" s="24">
        <v>176</v>
      </c>
      <c r="D16" s="25">
        <v>94</v>
      </c>
      <c r="E16" s="25">
        <v>-17</v>
      </c>
      <c r="F16" s="25">
        <v>-19</v>
      </c>
      <c r="G16" s="25"/>
      <c r="H16" s="25"/>
      <c r="I16" s="25">
        <v>-60</v>
      </c>
      <c r="J16" s="25">
        <f>F16+D16+E16</f>
        <v>58</v>
      </c>
      <c r="K16" s="25">
        <f>AVERAGE(J13:J16)</f>
        <v>12.25</v>
      </c>
      <c r="L16" s="25">
        <f>-(I16-F16)+L15</f>
        <v>-146.5</v>
      </c>
    </row>
    <row r="17" ht="20.05" customHeight="1">
      <c r="B17" s="38"/>
      <c r="C17" s="24">
        <f>605.6-SUM(C14:C16)</f>
        <v>154.6</v>
      </c>
      <c r="D17" s="25">
        <f>240.2-SUM(D14:D16)</f>
        <v>78.2</v>
      </c>
      <c r="E17" s="25">
        <f>-76.8-SUM(E14:E16)</f>
        <v>-26.8</v>
      </c>
      <c r="F17" s="25">
        <f>-72.5-SUM(F14:F16)</f>
        <v>-17.5</v>
      </c>
      <c r="G17" s="25"/>
      <c r="H17" s="25"/>
      <c r="I17" s="25">
        <f>-148.7-SUM(I14:I16)</f>
        <v>-49.7</v>
      </c>
      <c r="J17" s="25">
        <f>F17+D17+E17</f>
        <v>33.9</v>
      </c>
      <c r="K17" s="25">
        <f>AVERAGE(J14:J17)</f>
        <v>22.725</v>
      </c>
      <c r="L17" s="25">
        <f>-(I17-F17)+L16</f>
        <v>-114.3</v>
      </c>
    </row>
    <row r="18" ht="20.05" customHeight="1">
      <c r="B18" s="39">
        <v>2021</v>
      </c>
      <c r="C18" s="24">
        <v>176.3</v>
      </c>
      <c r="D18" s="25">
        <v>77.09999999999999</v>
      </c>
      <c r="E18" s="25">
        <v>-20.7</v>
      </c>
      <c r="F18" s="25">
        <f>-16.687</f>
        <v>-16.687</v>
      </c>
      <c r="G18" s="25">
        <f>-62.019-F18</f>
        <v>-45.332</v>
      </c>
      <c r="H18" s="25"/>
      <c r="I18" s="25">
        <v>-62</v>
      </c>
      <c r="J18" s="25">
        <f>F18+D18+E18</f>
        <v>39.713</v>
      </c>
      <c r="K18" s="25">
        <f>AVERAGE(J15:J18)</f>
        <v>34.40325</v>
      </c>
      <c r="L18" s="25">
        <f>-(G18+H18)+L17</f>
        <v>-68.968</v>
      </c>
    </row>
    <row r="19" ht="20.05" customHeight="1">
      <c r="B19" s="38"/>
      <c r="C19" s="24">
        <f>388-C18</f>
        <v>211.7</v>
      </c>
      <c r="D19" s="25">
        <f>143.5-D18</f>
        <v>66.40000000000001</v>
      </c>
      <c r="E19" s="25">
        <f>-35.1-E18</f>
        <v>-14.4</v>
      </c>
      <c r="F19" s="25">
        <f>-51.3-F18</f>
        <v>-34.613</v>
      </c>
      <c r="G19" s="25">
        <f>-4.131-F19-F18-G18</f>
        <v>92.501</v>
      </c>
      <c r="H19" s="25"/>
      <c r="I19" s="25">
        <f>-4.1-I18</f>
        <v>57.9</v>
      </c>
      <c r="J19" s="25">
        <f>F19+D19+E19</f>
        <v>17.387</v>
      </c>
      <c r="K19" s="25">
        <f>AVERAGE(J16:J19)</f>
        <v>37.25</v>
      </c>
      <c r="L19" s="25">
        <f>-(G19+H19)+L18</f>
        <v>-161.469</v>
      </c>
    </row>
    <row r="20" ht="20.05" customHeight="1">
      <c r="B20" s="38"/>
      <c r="C20" s="24">
        <f>651-SUM(C18:C19)</f>
        <v>263</v>
      </c>
      <c r="D20" s="25">
        <f>280.7-SUM(D18:D19)</f>
        <v>137.2</v>
      </c>
      <c r="E20" s="25">
        <f>-111.5-SUM(E18:E19)</f>
        <v>-76.40000000000001</v>
      </c>
      <c r="F20" s="25">
        <f>-66.8-SUM(F18:F19)</f>
        <v>-15.5</v>
      </c>
      <c r="G20" s="25">
        <f>-36.142-F20-F19-F18-G19-G18</f>
        <v>-16.511</v>
      </c>
      <c r="H20" s="25"/>
      <c r="I20" s="25">
        <f>-36.1-SUM(I18:I19)</f>
        <v>-32</v>
      </c>
      <c r="J20" s="25">
        <f>F20+D20+E20</f>
        <v>45.3</v>
      </c>
      <c r="K20" s="25">
        <f>AVERAGE(J17:J20)</f>
        <v>34.075</v>
      </c>
      <c r="L20" s="25">
        <f>-(G20+H20)+L19</f>
        <v>-144.958</v>
      </c>
    </row>
    <row r="21" ht="20.05" customHeight="1">
      <c r="B21" s="38"/>
      <c r="C21" s="24"/>
      <c r="D21" s="25"/>
      <c r="E21" s="25"/>
      <c r="F21" s="25"/>
      <c r="G21" s="25"/>
      <c r="H21" s="25"/>
      <c r="I21" s="25"/>
      <c r="J21" s="25"/>
      <c r="K21" s="25">
        <f>'Model'!F9+'Model'!F10</f>
        <v>61.307730858377</v>
      </c>
      <c r="L21" s="25">
        <f>'Model'!F32</f>
        <v>50.1073201790075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0625" style="43" customWidth="1"/>
    <col min="2" max="2" width="6.45312" style="43" customWidth="1"/>
    <col min="3" max="3" width="10.4922" style="43" customWidth="1"/>
    <col min="4" max="6" width="7.78906" style="43" customWidth="1"/>
    <col min="7" max="7" width="8.92188" style="43" customWidth="1"/>
    <col min="8" max="11" width="8.42188" style="43" customWidth="1"/>
    <col min="12" max="16384" width="16.3516" style="43" customWidth="1"/>
  </cols>
  <sheetData>
    <row r="1" ht="30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33">
        <v>42</v>
      </c>
      <c r="C3" t="s" s="33">
        <v>54</v>
      </c>
      <c r="D3" t="s" s="33">
        <v>55</v>
      </c>
      <c r="E3" t="s" s="33">
        <v>56</v>
      </c>
      <c r="F3" t="s" s="33">
        <v>23</v>
      </c>
      <c r="G3" t="s" s="44">
        <v>11</v>
      </c>
      <c r="H3" t="s" s="33">
        <v>12</v>
      </c>
      <c r="I3" t="s" s="33">
        <v>26</v>
      </c>
      <c r="J3" t="s" s="33">
        <v>27</v>
      </c>
      <c r="K3" t="s" s="33">
        <v>34</v>
      </c>
    </row>
    <row r="4" ht="20" customHeight="1">
      <c r="B4" s="34">
        <v>2016</v>
      </c>
      <c r="C4" s="35">
        <v>21</v>
      </c>
      <c r="D4" s="36">
        <v>1082</v>
      </c>
      <c r="E4" s="36">
        <f>D4-C4</f>
        <v>1061</v>
      </c>
      <c r="F4" s="36">
        <f>66+300</f>
        <v>366</v>
      </c>
      <c r="G4" s="36">
        <v>769</v>
      </c>
      <c r="H4" s="45">
        <v>313</v>
      </c>
      <c r="I4" s="45">
        <f>G4+H4-C4-E4</f>
        <v>0</v>
      </c>
      <c r="J4" s="45">
        <f>C4-G4</f>
        <v>-748</v>
      </c>
      <c r="K4" s="45"/>
    </row>
    <row r="5" ht="20" customHeight="1">
      <c r="B5" s="39">
        <v>2017</v>
      </c>
      <c r="C5" s="24">
        <v>124</v>
      </c>
      <c r="D5" s="25">
        <v>1189</v>
      </c>
      <c r="E5" s="25">
        <f>D5-C5</f>
        <v>1065</v>
      </c>
      <c r="F5" s="25">
        <f>83+335</f>
        <v>418</v>
      </c>
      <c r="G5" s="25">
        <v>780</v>
      </c>
      <c r="H5" s="21">
        <v>409</v>
      </c>
      <c r="I5" s="21">
        <f>G5+H5-C5-E5</f>
        <v>0</v>
      </c>
      <c r="J5" s="21">
        <f>C5-G5</f>
        <v>-656</v>
      </c>
      <c r="K5" s="21"/>
    </row>
    <row r="6" ht="20" customHeight="1">
      <c r="B6" s="39">
        <v>2018</v>
      </c>
      <c r="C6" s="24">
        <v>105</v>
      </c>
      <c r="D6" s="25">
        <v>1280</v>
      </c>
      <c r="E6" s="25">
        <f>D6-C6</f>
        <v>1175</v>
      </c>
      <c r="F6" s="25">
        <f>102+371+0.6</f>
        <v>473.6</v>
      </c>
      <c r="G6" s="25">
        <v>842</v>
      </c>
      <c r="H6" s="21">
        <v>438</v>
      </c>
      <c r="I6" s="21">
        <f>G6+H6-C6-E6</f>
        <v>0</v>
      </c>
      <c r="J6" s="21">
        <f>C6-G6</f>
        <v>-737</v>
      </c>
      <c r="K6" s="21"/>
    </row>
    <row r="7" ht="20" customHeight="1">
      <c r="B7" s="39">
        <v>2019</v>
      </c>
      <c r="C7" s="24"/>
      <c r="D7" s="25">
        <v>0</v>
      </c>
      <c r="E7" s="25">
        <f>D7-C7</f>
        <v>0</v>
      </c>
      <c r="F7" s="25"/>
      <c r="G7" s="25">
        <v>0</v>
      </c>
      <c r="H7" s="21"/>
      <c r="I7" s="21">
        <f>G7+H7-C7-E7</f>
        <v>0</v>
      </c>
      <c r="J7" s="21"/>
      <c r="K7" s="21"/>
    </row>
    <row r="8" ht="20" customHeight="1">
      <c r="B8" s="38"/>
      <c r="C8" s="24">
        <v>30</v>
      </c>
      <c r="D8" s="25">
        <v>1345</v>
      </c>
      <c r="E8" s="25">
        <f>D8-C8</f>
        <v>1315</v>
      </c>
      <c r="F8" s="25">
        <f>114+391</f>
        <v>505</v>
      </c>
      <c r="G8" s="25">
        <v>907</v>
      </c>
      <c r="H8" s="21">
        <v>438</v>
      </c>
      <c r="I8" s="21">
        <f>G8+H8-C8-E8</f>
        <v>0</v>
      </c>
      <c r="J8" s="21">
        <f>C8-G8</f>
        <v>-877</v>
      </c>
      <c r="K8" s="21"/>
    </row>
    <row r="9" ht="20" customHeight="1">
      <c r="B9" s="38"/>
      <c r="C9" s="24"/>
      <c r="D9" s="25">
        <v>0</v>
      </c>
      <c r="E9" s="25">
        <f>D9-C9</f>
        <v>0</v>
      </c>
      <c r="F9" s="25"/>
      <c r="G9" s="25">
        <v>0</v>
      </c>
      <c r="H9" s="21"/>
      <c r="I9" s="21">
        <f>G9+H9-C9-E9</f>
        <v>0</v>
      </c>
      <c r="J9" s="21"/>
      <c r="K9" s="21"/>
    </row>
    <row r="10" ht="20" customHeight="1">
      <c r="B10" s="38"/>
      <c r="C10" s="24">
        <v>27</v>
      </c>
      <c r="D10" s="25">
        <v>1369</v>
      </c>
      <c r="E10" s="25">
        <f>D10-C10</f>
        <v>1342</v>
      </c>
      <c r="F10" s="25">
        <f>126+410+1</f>
        <v>537</v>
      </c>
      <c r="G10" s="25">
        <v>904</v>
      </c>
      <c r="H10" s="21">
        <v>465</v>
      </c>
      <c r="I10" s="21">
        <f>G10+H10-C10-E10</f>
        <v>0</v>
      </c>
      <c r="J10" s="21">
        <f>C10-G10</f>
        <v>-877</v>
      </c>
      <c r="K10" s="21"/>
    </row>
    <row r="11" ht="20" customHeight="1">
      <c r="B11" s="39">
        <v>2020</v>
      </c>
      <c r="C11" s="24">
        <v>45</v>
      </c>
      <c r="D11" s="25">
        <v>1417</v>
      </c>
      <c r="E11" s="25">
        <f>D11-C11</f>
        <v>1372</v>
      </c>
      <c r="F11" s="25">
        <f>133.61+420.4+0.94</f>
        <v>554.95</v>
      </c>
      <c r="G11" s="25">
        <v>868</v>
      </c>
      <c r="H11" s="21">
        <v>549</v>
      </c>
      <c r="I11" s="21">
        <f>G11+H11-C11-E11</f>
        <v>0</v>
      </c>
      <c r="J11" s="21">
        <f>C11-G11</f>
        <v>-823</v>
      </c>
      <c r="K11" s="21"/>
    </row>
    <row r="12" ht="20" customHeight="1">
      <c r="B12" s="38"/>
      <c r="C12" s="24">
        <v>24</v>
      </c>
      <c r="D12" s="25">
        <v>1385</v>
      </c>
      <c r="E12" s="25">
        <f>D12-C12</f>
        <v>1361</v>
      </c>
      <c r="F12" s="25">
        <f>143+430+1</f>
        <v>574</v>
      </c>
      <c r="G12" s="25">
        <v>826</v>
      </c>
      <c r="H12" s="21">
        <v>559</v>
      </c>
      <c r="I12" s="21">
        <f>G12+H12-C12-E12</f>
        <v>0</v>
      </c>
      <c r="J12" s="21">
        <f>C12-G12</f>
        <v>-802</v>
      </c>
      <c r="K12" s="21"/>
    </row>
    <row r="13" ht="20" customHeight="1">
      <c r="B13" s="38"/>
      <c r="C13" s="20">
        <v>40</v>
      </c>
      <c r="D13" s="25">
        <v>1402</v>
      </c>
      <c r="E13" s="25">
        <f>D13-C13</f>
        <v>1362</v>
      </c>
      <c r="F13" s="21">
        <f>151+440+1</f>
        <v>592</v>
      </c>
      <c r="G13" s="25">
        <v>822</v>
      </c>
      <c r="H13" s="21">
        <v>580</v>
      </c>
      <c r="I13" s="21">
        <f>G13+H13-C13-E13</f>
        <v>0</v>
      </c>
      <c r="J13" s="21">
        <f>C13-G13</f>
        <v>-782</v>
      </c>
      <c r="K13" s="21"/>
    </row>
    <row r="14" ht="20" customHeight="1">
      <c r="B14" s="38"/>
      <c r="C14" s="20">
        <v>42</v>
      </c>
      <c r="D14" s="25">
        <v>1399</v>
      </c>
      <c r="E14" s="25">
        <f>D14-C14</f>
        <v>1357</v>
      </c>
      <c r="F14" s="21">
        <f>161+450+1</f>
        <v>612</v>
      </c>
      <c r="G14" s="25">
        <v>827</v>
      </c>
      <c r="H14" s="21">
        <v>572</v>
      </c>
      <c r="I14" s="21">
        <f>G14+H14-C14-E14</f>
        <v>0</v>
      </c>
      <c r="J14" s="21">
        <f>C14-G14</f>
        <v>-785</v>
      </c>
      <c r="K14" s="21"/>
    </row>
    <row r="15" ht="20" customHeight="1">
      <c r="B15" s="39">
        <v>2021</v>
      </c>
      <c r="C15" s="20">
        <v>36</v>
      </c>
      <c r="D15" s="25">
        <v>1409</v>
      </c>
      <c r="E15" s="25">
        <f>D15-C15</f>
        <v>1373</v>
      </c>
      <c r="F15" s="25">
        <f>170+459+1</f>
        <v>630</v>
      </c>
      <c r="G15" s="25">
        <v>795</v>
      </c>
      <c r="H15" s="21">
        <v>614</v>
      </c>
      <c r="I15" s="21">
        <f>G15+H15-C15-E15</f>
        <v>0</v>
      </c>
      <c r="J15" s="21">
        <f>C15-G15</f>
        <v>-759</v>
      </c>
      <c r="K15" s="25"/>
    </row>
    <row r="16" ht="20" customHeight="1">
      <c r="B16" s="38"/>
      <c r="C16" s="20">
        <v>146</v>
      </c>
      <c r="D16" s="25">
        <v>1535</v>
      </c>
      <c r="E16" s="25">
        <f>D16-C16</f>
        <v>1389</v>
      </c>
      <c r="F16" s="21">
        <f>179+468+1</f>
        <v>648</v>
      </c>
      <c r="G16" s="25">
        <v>879</v>
      </c>
      <c r="H16" s="21">
        <v>656</v>
      </c>
      <c r="I16" s="21">
        <f>G16+H16-C16-E16</f>
        <v>0</v>
      </c>
      <c r="J16" s="21">
        <f>C16-G16</f>
        <v>-733</v>
      </c>
      <c r="K16" s="25"/>
    </row>
    <row r="17" ht="20" customHeight="1">
      <c r="B17" s="38"/>
      <c r="C17" s="20">
        <v>174.9</v>
      </c>
      <c r="D17" s="25">
        <v>1627.2</v>
      </c>
      <c r="E17" s="25">
        <f>D17-C17</f>
        <v>1452.3</v>
      </c>
      <c r="F17" s="21">
        <f>188+478+1</f>
        <v>667</v>
      </c>
      <c r="G17" s="25">
        <v>876</v>
      </c>
      <c r="H17" s="21">
        <v>751</v>
      </c>
      <c r="I17" s="21">
        <f>G17+H17-C17-E17</f>
        <v>-0.2</v>
      </c>
      <c r="J17" s="21">
        <f>C17-G17</f>
        <v>-701.1</v>
      </c>
      <c r="K17" s="25">
        <f>J17</f>
        <v>-701.1</v>
      </c>
    </row>
    <row r="18" ht="20" customHeight="1">
      <c r="B18" s="38"/>
      <c r="C18" s="20"/>
      <c r="D18" s="25"/>
      <c r="E18" s="25"/>
      <c r="F18" s="21"/>
      <c r="G18" s="25"/>
      <c r="H18" s="21"/>
      <c r="I18" s="21"/>
      <c r="J18" s="21"/>
      <c r="K18" s="25">
        <f>'Model'!F30</f>
        <v>-515.944843388933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9219" style="46" customWidth="1"/>
    <col min="2" max="2" width="6.86719" style="46" customWidth="1"/>
    <col min="3" max="4" width="8.32031" style="46" customWidth="1"/>
    <col min="5" max="16384" width="16.3516" style="46" customWidth="1"/>
  </cols>
  <sheetData>
    <row r="1" ht="32.1" customHeight="1"/>
    <row r="2" ht="27.65" customHeight="1">
      <c r="B2" t="s" s="2">
        <v>57</v>
      </c>
      <c r="C2" s="2"/>
      <c r="D2" s="2"/>
    </row>
    <row r="3" ht="20.25" customHeight="1">
      <c r="B3" s="47"/>
      <c r="C3" t="s" s="44">
        <v>58</v>
      </c>
      <c r="D3" t="s" s="44">
        <v>37</v>
      </c>
    </row>
    <row r="4" ht="20.25" customHeight="1">
      <c r="B4" s="34">
        <v>2020</v>
      </c>
      <c r="C4" s="48">
        <v>540</v>
      </c>
      <c r="D4" s="36"/>
    </row>
    <row r="5" ht="20.05" customHeight="1">
      <c r="B5" s="38"/>
      <c r="C5" s="20">
        <v>570</v>
      </c>
      <c r="D5" s="29"/>
    </row>
    <row r="6" ht="20.05" customHeight="1">
      <c r="B6" s="38"/>
      <c r="C6" s="20">
        <v>398</v>
      </c>
      <c r="D6" s="25"/>
    </row>
    <row r="7" ht="20.05" customHeight="1">
      <c r="B7" s="38"/>
      <c r="C7" s="20">
        <v>272</v>
      </c>
      <c r="D7" s="25"/>
    </row>
    <row r="8" ht="20.05" customHeight="1">
      <c r="B8" s="38"/>
      <c r="C8" s="20">
        <v>250</v>
      </c>
      <c r="D8" s="25"/>
    </row>
    <row r="9" ht="20.05" customHeight="1">
      <c r="B9" s="38"/>
      <c r="C9" s="20">
        <v>234</v>
      </c>
      <c r="D9" s="29"/>
    </row>
    <row r="10" ht="20.05" customHeight="1">
      <c r="B10" s="38"/>
      <c r="C10" s="20">
        <v>312</v>
      </c>
      <c r="D10" s="29"/>
    </row>
    <row r="11" ht="20.05" customHeight="1">
      <c r="B11" s="38"/>
      <c r="C11" s="20">
        <v>368</v>
      </c>
      <c r="D11" s="29"/>
    </row>
    <row r="12" ht="20.05" customHeight="1">
      <c r="B12" s="38"/>
      <c r="C12" s="20">
        <v>318</v>
      </c>
      <c r="D12" s="29"/>
    </row>
    <row r="13" ht="20.05" customHeight="1">
      <c r="B13" s="38"/>
      <c r="C13" s="20">
        <v>330</v>
      </c>
      <c r="D13" s="29"/>
    </row>
    <row r="14" ht="20.05" customHeight="1">
      <c r="B14" s="38"/>
      <c r="C14" s="20">
        <v>366</v>
      </c>
      <c r="D14" s="25"/>
    </row>
    <row r="15" ht="20.05" customHeight="1">
      <c r="B15" s="38"/>
      <c r="C15" s="20">
        <v>376</v>
      </c>
      <c r="D15" s="25"/>
    </row>
    <row r="16" ht="20.05" customHeight="1">
      <c r="B16" s="39">
        <v>2021</v>
      </c>
      <c r="C16" s="20">
        <v>280</v>
      </c>
      <c r="D16" s="25"/>
    </row>
    <row r="17" ht="20.05" customHeight="1">
      <c r="B17" s="38"/>
      <c r="C17" s="20">
        <v>304</v>
      </c>
      <c r="D17" s="25"/>
    </row>
    <row r="18" ht="20.05" customHeight="1">
      <c r="B18" s="38"/>
      <c r="C18" s="20">
        <v>294</v>
      </c>
      <c r="D18" s="25"/>
    </row>
    <row r="19" ht="20.05" customHeight="1">
      <c r="B19" s="38"/>
      <c r="C19" s="20">
        <v>300</v>
      </c>
      <c r="D19" s="25"/>
    </row>
    <row r="20" ht="20.05" customHeight="1">
      <c r="B20" s="38"/>
      <c r="C20" s="20">
        <v>320</v>
      </c>
      <c r="D20" s="25"/>
    </row>
    <row r="21" ht="20.05" customHeight="1">
      <c r="B21" s="38"/>
      <c r="C21" s="20">
        <v>288</v>
      </c>
      <c r="D21" s="25"/>
    </row>
    <row r="22" ht="20.05" customHeight="1">
      <c r="B22" s="38"/>
      <c r="C22" s="20">
        <v>320</v>
      </c>
      <c r="D22" s="25"/>
    </row>
    <row r="23" ht="20.05" customHeight="1">
      <c r="B23" s="38"/>
      <c r="C23" s="20">
        <v>316</v>
      </c>
      <c r="D23" s="25"/>
    </row>
    <row r="24" ht="20.05" customHeight="1">
      <c r="B24" s="38"/>
      <c r="C24" s="20">
        <v>428</v>
      </c>
      <c r="D24" s="25"/>
    </row>
    <row r="25" ht="20.05" customHeight="1">
      <c r="B25" s="38"/>
      <c r="C25" s="20">
        <v>394</v>
      </c>
      <c r="D25" s="25"/>
    </row>
    <row r="26" ht="20.05" customHeight="1">
      <c r="B26" s="38"/>
      <c r="C26" s="20">
        <v>520</v>
      </c>
      <c r="D26" s="25">
        <f>C26</f>
        <v>520</v>
      </c>
    </row>
    <row r="27" ht="20.05" customHeight="1">
      <c r="B27" s="38"/>
      <c r="C27" s="20"/>
      <c r="D27" s="25">
        <f>'Model'!F42</f>
        <v>849.670055766146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