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Data " sheetId="2" r:id="rId5"/>
  </sheets>
</workbook>
</file>

<file path=xl/sharedStrings.xml><?xml version="1.0" encoding="utf-8"?>
<sst xmlns="http://schemas.openxmlformats.org/spreadsheetml/2006/main" uniqueCount="44">
  <si>
    <t>Model</t>
  </si>
  <si>
    <t>Rpbn</t>
  </si>
  <si>
    <t>4Q 2021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</si>
  <si>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</si>
  <si>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</si>
  <si>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</si>
  <si>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</si>
  <si>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</si>
  <si>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Non cash costs </t>
  </si>
  <si>
    <t xml:space="preserve">Profit </t>
  </si>
  <si>
    <t xml:space="preserve">Operating </t>
  </si>
  <si>
    <t xml:space="preserve">Investment 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</si>
  <si>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</si>
  <si>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</si>
  <si>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</si>
  <si>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</si>
  <si>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</si>
  <si>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</si>
  <si>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</si>
  <si>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Balance sheet </t>
  </si>
  <si>
    <t xml:space="preserve">Other assets </t>
  </si>
  <si>
    <t xml:space="preserve">Depreciation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</si>
  <si>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</si>
  <si>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</si>
  <si>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</si>
  <si>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</si>
  <si>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</si>
  <si>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 xml:space="preserve">P/assets 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</si>
  <si>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</si>
  <si>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</si>
  <si>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</si>
  <si>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</si>
  <si>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</si>
  <si>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Current </t>
  </si>
  <si>
    <t xml:space="preserve">Target </t>
  </si>
  <si>
    <t xml:space="preserve">V target </t>
  </si>
  <si>
    <t xml:space="preserve">12 month growth </t>
  </si>
  <si>
    <t>Data</t>
  </si>
  <si>
    <t xml:space="preserve">Receipts </t>
  </si>
  <si>
    <t xml:space="preserve">Leases </t>
  </si>
  <si>
    <t xml:space="preserve">Interest </t>
  </si>
  <si>
    <t xml:space="preserve">Assets </t>
  </si>
  <si>
    <t xml:space="preserve">Cashflow costs </t>
  </si>
  <si>
    <t>CMRY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</si>
</sst>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.0%"/>
    <numFmt numFmtId="60" formatCode="#,##0%"/>
    <numFmt numFmtId="61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60" fontId="0" borderId="3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488082</xdr:colOff>
      <xdr:row>1</xdr:row>
      <xdr:rowOff>55444</xdr:rowOff>
    </xdr:from>
    <xdr:to>
      <xdr:col>11</xdr:col>
      <xdr:colOff>955689</xdr:colOff>
      <xdr:row>41</xdr:row>
      <xdr:rowOff>173752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323482" y="406599"/>
          <a:ext cx="7935208" cy="103087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5" width="8.5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t="s" s="3">
        <v>2</v>
      </c>
      <c r="C2" s="4"/>
      <c r="D2" s="4"/>
      <c r="E2" s="4"/>
    </row>
    <row r="3" ht="20.25" customHeight="1">
      <c r="A3" t="s" s="5">
        <v>3</v>
      </c>
      <c r="B3" s="6">
        <f>(2704/1235-1)/4</f>
        <v>0.297368421052632</v>
      </c>
      <c r="C3" s="7"/>
      <c r="D3" s="7"/>
      <c r="E3" s="8">
        <f>AVERAGE(B4:E4)</f>
        <v>0.1125</v>
      </c>
    </row>
    <row r="4" ht="20.05" customHeight="1">
      <c r="A4" t="s" s="9">
        <v>4</v>
      </c>
      <c r="B4" s="10">
        <v>0.2</v>
      </c>
      <c r="C4" s="11">
        <v>0.05</v>
      </c>
      <c r="D4" s="12">
        <v>0.1</v>
      </c>
      <c r="E4" s="12">
        <v>0.1</v>
      </c>
    </row>
    <row r="5" ht="20.05" customHeight="1">
      <c r="A5" t="s" s="9">
        <v>5</v>
      </c>
      <c r="B5" s="13">
        <f>'Data '!F4*(1+B4)</f>
        <v>1346.7</v>
      </c>
      <c r="C5" s="14">
        <f>B5*(1+C4)</f>
        <v>1414.035</v>
      </c>
      <c r="D5" s="14">
        <f>C5*(1+D4)</f>
        <v>1555.4385</v>
      </c>
      <c r="E5" s="14">
        <f>D5*(1+E4)</f>
        <v>1710.98235</v>
      </c>
    </row>
    <row r="6" ht="20.05" customHeight="1">
      <c r="A6" t="s" s="9">
        <v>6</v>
      </c>
      <c r="B6" s="15">
        <f>'Data '!F20</f>
        <v>-0.7713076408999781</v>
      </c>
      <c r="C6" s="16">
        <f>B6</f>
        <v>-0.7713076408999781</v>
      </c>
      <c r="D6" s="16">
        <f>C6</f>
        <v>-0.7713076408999781</v>
      </c>
      <c r="E6" s="16">
        <f>D6</f>
        <v>-0.7713076408999781</v>
      </c>
    </row>
    <row r="7" ht="20.05" customHeight="1">
      <c r="A7" t="s" s="9">
        <v>7</v>
      </c>
      <c r="B7" s="13">
        <f>B5*B6</f>
        <v>-1038.72</v>
      </c>
      <c r="C7" s="17">
        <f>C5*C6</f>
        <v>-1090.656</v>
      </c>
      <c r="D7" s="17">
        <f>D5*D6</f>
        <v>-1199.7216</v>
      </c>
      <c r="E7" s="17">
        <f>E5*E6</f>
        <v>-1319.69376</v>
      </c>
    </row>
    <row r="8" ht="20.05" customHeight="1">
      <c r="A8" t="s" s="9">
        <v>8</v>
      </c>
      <c r="B8" s="13">
        <f>-'Data '!F18</f>
        <v>-15.65</v>
      </c>
      <c r="C8" s="14">
        <f>B8</f>
        <v>-15.65</v>
      </c>
      <c r="D8" s="14">
        <f>C8</f>
        <v>-15.65</v>
      </c>
      <c r="E8" s="14">
        <f>D8</f>
        <v>-15.65</v>
      </c>
    </row>
    <row r="9" ht="20.05" customHeight="1">
      <c r="A9" t="s" s="9">
        <v>9</v>
      </c>
      <c r="B9" s="13">
        <f>B5+B7+B8</f>
        <v>292.33</v>
      </c>
      <c r="C9" s="17">
        <f>C5+C7+C8</f>
        <v>307.729</v>
      </c>
      <c r="D9" s="17">
        <f>D5+D7+D8</f>
        <v>340.0669</v>
      </c>
      <c r="E9" s="17">
        <f>E5+E7+E8</f>
        <v>375.63859</v>
      </c>
    </row>
    <row r="10" ht="20.05" customHeight="1">
      <c r="A10" t="s" s="9">
        <v>10</v>
      </c>
      <c r="B10" s="13">
        <f>B5+B7</f>
        <v>307.98</v>
      </c>
      <c r="C10" s="17">
        <f>C5+C7</f>
        <v>323.379</v>
      </c>
      <c r="D10" s="17">
        <f>D5+D7</f>
        <v>355.7169</v>
      </c>
      <c r="E10" s="17">
        <f>E5+E7</f>
        <v>391.28859</v>
      </c>
    </row>
    <row r="11" ht="20.05" customHeight="1">
      <c r="A11" t="s" s="9">
        <v>11</v>
      </c>
      <c r="B11" s="13">
        <f>'Data '!F9</f>
        <v>-84.08</v>
      </c>
      <c r="C11" s="14">
        <f>B11</f>
        <v>-84.08</v>
      </c>
      <c r="D11" s="14">
        <f>C11</f>
        <v>-84.08</v>
      </c>
      <c r="E11" s="14">
        <f>D11</f>
        <v>-84.08</v>
      </c>
    </row>
    <row r="12" ht="20.05" customHeight="1">
      <c r="A12" t="s" s="9">
        <v>12</v>
      </c>
      <c r="B12" s="18">
        <f>-'Data '!F25/20</f>
        <v>-31.259</v>
      </c>
      <c r="C12" s="17">
        <f>-B22/20</f>
        <v>-29.69605</v>
      </c>
      <c r="D12" s="17">
        <f>-C22/20</f>
        <v>-28.2112475</v>
      </c>
      <c r="E12" s="17">
        <f>-D22/20</f>
        <v>-26.800685125</v>
      </c>
    </row>
    <row r="13" ht="20.05" customHeight="1">
      <c r="A13" t="s" s="9">
        <v>13</v>
      </c>
      <c r="B13" s="13">
        <f>IF(B9&gt;0,-B9*0.6,0)</f>
        <v>-175.398</v>
      </c>
      <c r="C13" s="17">
        <f>IF(C9&gt;0,-C9*0.6,0)</f>
        <v>-184.6374</v>
      </c>
      <c r="D13" s="17">
        <f>IF(D9&gt;0,-D9*0.6,0)</f>
        <v>-204.04014</v>
      </c>
      <c r="E13" s="17">
        <f>IF(E9&gt;0,-E9*0.6,0)</f>
        <v>-225.383154</v>
      </c>
    </row>
    <row r="14" ht="20.05" customHeight="1">
      <c r="A14" t="s" s="9">
        <v>14</v>
      </c>
      <c r="B14" s="18">
        <f>B10+B11+B12+B13</f>
        <v>17.243</v>
      </c>
      <c r="C14" s="17">
        <f>C10+C11+C12+C13</f>
        <v>24.96555</v>
      </c>
      <c r="D14" s="17">
        <f>D10+D11+D12+D13</f>
        <v>39.3855125</v>
      </c>
      <c r="E14" s="17">
        <f>E10+E11+E12+E13</f>
        <v>55.024750875</v>
      </c>
    </row>
    <row r="15" ht="20.05" customHeight="1">
      <c r="A15" t="s" s="9">
        <v>15</v>
      </c>
      <c r="B15" s="18">
        <f>-MIN(0,B14)</f>
        <v>0</v>
      </c>
      <c r="C15" s="19">
        <f>-MIN(B23,C14)</f>
        <v>0</v>
      </c>
      <c r="D15" s="19">
        <f>-MIN(C23,D14)</f>
        <v>0</v>
      </c>
      <c r="E15" s="19">
        <f>-MIN(D23,E14)</f>
        <v>0</v>
      </c>
    </row>
    <row r="16" ht="20.05" customHeight="1">
      <c r="A16" t="s" s="9">
        <v>16</v>
      </c>
      <c r="B16" s="13">
        <f>'Data '!F16</f>
        <v>11.581</v>
      </c>
      <c r="C16" s="14">
        <f>B18</f>
        <v>28.824</v>
      </c>
      <c r="D16" s="14">
        <f>C18</f>
        <v>53.78955</v>
      </c>
      <c r="E16" s="14">
        <f>D18</f>
        <v>93.1750625</v>
      </c>
    </row>
    <row r="17" ht="20.05" customHeight="1">
      <c r="A17" t="s" s="9">
        <v>17</v>
      </c>
      <c r="B17" s="18">
        <f>B10+B11+B12+B13+B15</f>
        <v>17.243</v>
      </c>
      <c r="C17" s="17">
        <f>C10+C11+C12+C13+C15</f>
        <v>24.96555</v>
      </c>
      <c r="D17" s="17">
        <f>D10+D11+D12+D13+D15</f>
        <v>39.3855125</v>
      </c>
      <c r="E17" s="17">
        <f>E10+E11+E12+E13+E15</f>
        <v>55.024750875</v>
      </c>
    </row>
    <row r="18" ht="20.05" customHeight="1">
      <c r="A18" t="s" s="9">
        <v>18</v>
      </c>
      <c r="B18" s="13">
        <f>B16+B17</f>
        <v>28.824</v>
      </c>
      <c r="C18" s="14">
        <f>C16+C17</f>
        <v>53.78955</v>
      </c>
      <c r="D18" s="14">
        <f>D16+D17</f>
        <v>93.1750625</v>
      </c>
      <c r="E18" s="14">
        <f>E16+E17</f>
        <v>148.199813375</v>
      </c>
    </row>
    <row r="19" ht="20.05" customHeight="1">
      <c r="A19" t="s" s="20">
        <v>19</v>
      </c>
      <c r="B19" s="21"/>
      <c r="C19" s="22"/>
      <c r="D19" s="22"/>
      <c r="E19" s="22"/>
    </row>
    <row r="20" ht="20.05" customHeight="1">
      <c r="A20" t="s" s="9">
        <v>20</v>
      </c>
      <c r="B20" s="18">
        <f>'Data '!F24+'Data '!F23-B11</f>
        <v>1897.139</v>
      </c>
      <c r="C20" s="14">
        <f>B20-C11</f>
        <v>1981.219</v>
      </c>
      <c r="D20" s="14">
        <f>C20-D11</f>
        <v>2065.299</v>
      </c>
      <c r="E20" s="14">
        <f>D20-E11</f>
        <v>2149.379</v>
      </c>
    </row>
    <row r="21" ht="20.05" customHeight="1">
      <c r="A21" t="s" s="9">
        <v>21</v>
      </c>
      <c r="B21" s="18">
        <f>'Data '!F23-B8</f>
        <v>272.15</v>
      </c>
      <c r="C21" s="14">
        <f>B21-C8</f>
        <v>287.8</v>
      </c>
      <c r="D21" s="14">
        <f>C21-D8</f>
        <v>303.45</v>
      </c>
      <c r="E21" s="14">
        <f>D21-E8</f>
        <v>319.1</v>
      </c>
    </row>
    <row r="22" ht="20.05" customHeight="1">
      <c r="A22" t="s" s="9">
        <v>12</v>
      </c>
      <c r="B22" s="18">
        <f>'Data '!F25+B12</f>
        <v>593.921</v>
      </c>
      <c r="C22" s="17">
        <f>B22+C12</f>
        <v>564.22495</v>
      </c>
      <c r="D22" s="17">
        <f>C22+D12</f>
        <v>536.0137025</v>
      </c>
      <c r="E22" s="17">
        <f>D22+E12</f>
        <v>509.213017375</v>
      </c>
    </row>
    <row r="23" ht="20.05" customHeight="1">
      <c r="A23" t="s" s="9">
        <v>15</v>
      </c>
      <c r="B23" s="18">
        <f>B15</f>
        <v>0</v>
      </c>
      <c r="C23" s="19">
        <f>B23+C15</f>
        <v>0</v>
      </c>
      <c r="D23" s="19">
        <f>C23+D15</f>
        <v>0</v>
      </c>
      <c r="E23" s="19">
        <f>D23+E15</f>
        <v>0</v>
      </c>
    </row>
    <row r="24" ht="20.05" customHeight="1">
      <c r="A24" t="s" s="9">
        <v>13</v>
      </c>
      <c r="B24" s="13">
        <f>'Data '!F26+B13+B9</f>
        <v>1059.892</v>
      </c>
      <c r="C24" s="14">
        <f>B24+C13+C9</f>
        <v>1182.9836</v>
      </c>
      <c r="D24" s="14">
        <f>C24+D13+D9</f>
        <v>1319.01036</v>
      </c>
      <c r="E24" s="14">
        <f>D24+E13+E9</f>
        <v>1469.265796</v>
      </c>
    </row>
    <row r="25" ht="20.05" customHeight="1">
      <c r="A25" t="s" s="9">
        <v>22</v>
      </c>
      <c r="B25" s="18">
        <f>B22+B23+B24-B18-(B20-B21)</f>
        <v>0</v>
      </c>
      <c r="C25" s="17">
        <f>C22+C23+C24-C18-(C20-C21)</f>
        <v>0</v>
      </c>
      <c r="D25" s="17">
        <f>D22+D23+D24-D18-(D20-D21)</f>
        <v>0</v>
      </c>
      <c r="E25" s="17">
        <f>E22+E23+E24-E18-(E20-E21)</f>
        <v>0</v>
      </c>
    </row>
    <row r="26" ht="20.05" customHeight="1">
      <c r="A26" t="s" s="9">
        <v>23</v>
      </c>
      <c r="B26" s="18">
        <f>B18-B22-B23</f>
        <v>-565.097</v>
      </c>
      <c r="C26" s="17">
        <f>C18-C22-C23</f>
        <v>-510.4354</v>
      </c>
      <c r="D26" s="17">
        <f>D18-D22-D23</f>
        <v>-442.83864</v>
      </c>
      <c r="E26" s="17">
        <f>E18-E22-E23</f>
        <v>-361.013204</v>
      </c>
    </row>
    <row r="27" ht="20.05" customHeight="1">
      <c r="A27" t="s" s="20">
        <v>24</v>
      </c>
      <c r="B27" s="21"/>
      <c r="C27" s="22"/>
      <c r="D27" s="22"/>
      <c r="E27" s="22"/>
    </row>
    <row r="28" ht="20.05" customHeight="1">
      <c r="A28" t="s" s="9">
        <v>25</v>
      </c>
      <c r="B28" s="13">
        <f>'Data '!F32-(B12+B13)</f>
        <v>659.947</v>
      </c>
      <c r="C28" s="14">
        <f>B28-(C12+C15+C13)</f>
        <v>874.28045</v>
      </c>
      <c r="D28" s="14">
        <f>C28-(D12+D15+D13)</f>
        <v>1106.5318375</v>
      </c>
      <c r="E28" s="14">
        <f>D28-(E12+E15+E13)</f>
        <v>1358.715676625</v>
      </c>
    </row>
    <row r="29" ht="20.05" customHeight="1">
      <c r="A29" t="s" s="9">
        <v>26</v>
      </c>
      <c r="B29" s="21"/>
      <c r="C29" s="22"/>
      <c r="D29" s="22"/>
      <c r="E29" s="14">
        <v>27300</v>
      </c>
    </row>
    <row r="30" ht="20.05" customHeight="1">
      <c r="A30" t="s" s="9">
        <v>27</v>
      </c>
      <c r="B30" s="21"/>
      <c r="C30" s="22"/>
      <c r="D30" s="22"/>
      <c r="E30" s="23">
        <f>E29/(E18+E20-E21)</f>
        <v>13.798479829779</v>
      </c>
    </row>
    <row r="31" ht="20.05" customHeight="1">
      <c r="A31" t="s" s="9">
        <v>28</v>
      </c>
      <c r="B31" s="21"/>
      <c r="C31" s="22"/>
      <c r="D31" s="22"/>
      <c r="E31" s="16">
        <f>-(B13+C13+D13+E13)/E29</f>
        <v>0.0289179008791209</v>
      </c>
    </row>
    <row r="32" ht="20.05" customHeight="1">
      <c r="A32" t="s" s="9">
        <v>3</v>
      </c>
      <c r="B32" s="21"/>
      <c r="C32" s="22"/>
      <c r="D32" s="22"/>
      <c r="E32" s="14">
        <f>SUM(B10:E11)</f>
        <v>1042.04449</v>
      </c>
    </row>
    <row r="33" ht="20.05" customHeight="1">
      <c r="A33" t="s" s="9">
        <v>29</v>
      </c>
      <c r="B33" s="21"/>
      <c r="C33" s="22"/>
      <c r="D33" s="22"/>
      <c r="E33" s="24">
        <f>'Data '!F24/E32</f>
        <v>1.49375483958463</v>
      </c>
    </row>
    <row r="34" ht="20.05" customHeight="1">
      <c r="A34" t="s" s="9">
        <v>24</v>
      </c>
      <c r="B34" s="21"/>
      <c r="C34" s="22"/>
      <c r="D34" s="22"/>
      <c r="E34" s="14">
        <f>E29/E32</f>
        <v>26.1984975324806</v>
      </c>
    </row>
    <row r="35" ht="20.05" customHeight="1">
      <c r="A35" t="s" s="9">
        <v>30</v>
      </c>
      <c r="B35" s="21"/>
      <c r="C35" s="22"/>
      <c r="D35" s="22"/>
      <c r="E35" s="19">
        <v>37</v>
      </c>
    </row>
    <row r="36" ht="20.05" customHeight="1">
      <c r="A36" t="s" s="9">
        <v>31</v>
      </c>
      <c r="B36" s="21"/>
      <c r="C36" s="22"/>
      <c r="D36" s="22"/>
      <c r="E36" s="17">
        <f>E32*E35</f>
        <v>38555.64613</v>
      </c>
    </row>
    <row r="37" ht="20.05" customHeight="1">
      <c r="A37" t="s" s="9">
        <v>32</v>
      </c>
      <c r="B37" s="21"/>
      <c r="C37" s="22"/>
      <c r="D37" s="22"/>
      <c r="E37" s="14">
        <f>E29/E38</f>
        <v>7.93604651162791</v>
      </c>
    </row>
    <row r="38" ht="20.05" customHeight="1">
      <c r="A38" t="s" s="9">
        <v>33</v>
      </c>
      <c r="B38" s="21"/>
      <c r="C38" s="22"/>
      <c r="D38" s="22"/>
      <c r="E38" s="14">
        <f>'Data '!F33</f>
        <v>3440</v>
      </c>
    </row>
    <row r="39" ht="20.05" customHeight="1">
      <c r="A39" t="s" s="9">
        <v>34</v>
      </c>
      <c r="B39" s="21"/>
      <c r="C39" s="22"/>
      <c r="D39" s="22"/>
      <c r="E39" s="14">
        <f>E36/E37</f>
        <v>4858.293871326010</v>
      </c>
    </row>
    <row r="40" ht="20.05" customHeight="1">
      <c r="A40" t="s" s="9">
        <v>35</v>
      </c>
      <c r="B40" s="21"/>
      <c r="C40" s="22"/>
      <c r="D40" s="22"/>
      <c r="E40" s="16">
        <f>E39/E38-1</f>
        <v>0.412294730036631</v>
      </c>
    </row>
    <row r="41" ht="20.05" customHeight="1">
      <c r="A41" t="s" s="9">
        <v>36</v>
      </c>
      <c r="B41" s="21"/>
      <c r="C41" s="22"/>
      <c r="D41" s="22"/>
      <c r="E41" s="16">
        <f>'Data '!F4/499-1</f>
        <v>1.24899799599198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3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6797" style="25" customWidth="1"/>
    <col min="2" max="10" width="9.875" style="25" customWidth="1"/>
    <col min="11" max="16384" width="16.3516" style="25" customWidth="1"/>
  </cols>
  <sheetData>
    <row r="1" ht="27.65" customHeight="1">
      <c r="A1" t="s" s="2">
        <v>37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26">
        <v>1</v>
      </c>
      <c r="B2" s="27">
        <v>2018</v>
      </c>
      <c r="C2" s="27">
        <v>2019</v>
      </c>
      <c r="D2" s="27">
        <v>2020</v>
      </c>
      <c r="E2" s="27">
        <v>2021</v>
      </c>
      <c r="F2" s="28"/>
      <c r="G2" s="4"/>
      <c r="H2" s="27">
        <v>2022</v>
      </c>
      <c r="I2" s="28"/>
      <c r="J2" s="28"/>
    </row>
    <row r="3" ht="20.25" customHeight="1">
      <c r="A3" t="s" s="5">
        <v>4</v>
      </c>
      <c r="B3" s="29"/>
      <c r="C3" s="30">
        <f>C4/B4-1</f>
        <v>0.279602539332045</v>
      </c>
      <c r="D3" s="30">
        <f>D4/C4-1</f>
        <v>0.338769053781996</v>
      </c>
      <c r="E3" s="30">
        <f>(E4/2)/(D4/4)-1</f>
        <v>0.699016090571226</v>
      </c>
      <c r="F3" s="30">
        <f>F5/E5-1</f>
        <v>0.418997945313735</v>
      </c>
      <c r="G3" s="30"/>
      <c r="H3" s="30"/>
      <c r="I3" s="30"/>
      <c r="J3" s="30"/>
    </row>
    <row r="4" ht="20.05" customHeight="1">
      <c r="A4" t="s" s="20">
        <v>5</v>
      </c>
      <c r="B4" s="13">
        <v>1086.9</v>
      </c>
      <c r="C4" s="14">
        <v>1390.8</v>
      </c>
      <c r="D4" s="14">
        <v>1861.96</v>
      </c>
      <c r="E4" s="14">
        <v>1581.75</v>
      </c>
      <c r="F4" s="14">
        <f>2704-E4</f>
        <v>1122.25</v>
      </c>
      <c r="G4" s="22"/>
      <c r="H4" s="22"/>
      <c r="I4" s="22"/>
      <c r="J4" s="14"/>
    </row>
    <row r="5" ht="20.05" customHeight="1">
      <c r="A5" t="s" s="20">
        <v>5</v>
      </c>
      <c r="B5" s="13">
        <f>B4/4</f>
        <v>271.725</v>
      </c>
      <c r="C5" s="14">
        <f>C4/4</f>
        <v>347.7</v>
      </c>
      <c r="D5" s="14">
        <f>D4/4</f>
        <v>465.49</v>
      </c>
      <c r="E5" s="14">
        <f>E4/2</f>
        <v>790.875</v>
      </c>
      <c r="F5" s="14">
        <f>F4</f>
        <v>1122.25</v>
      </c>
      <c r="G5" s="14"/>
      <c r="H5" s="14"/>
      <c r="I5" s="14"/>
      <c r="J5" s="14"/>
    </row>
    <row r="6" ht="20.05" customHeight="1">
      <c r="A6" t="s" s="20">
        <v>30</v>
      </c>
      <c r="B6" s="13"/>
      <c r="C6" s="14"/>
      <c r="D6" s="14"/>
      <c r="E6" s="14"/>
      <c r="F6" s="14">
        <f>'Model'!B5</f>
        <v>1346.7</v>
      </c>
      <c r="G6" s="14">
        <f>'Model'!B5</f>
        <v>1346.7</v>
      </c>
      <c r="H6" s="14">
        <f>'Model'!C5</f>
        <v>1414.035</v>
      </c>
      <c r="I6" s="14">
        <f>'Model'!D5</f>
        <v>1555.4385</v>
      </c>
      <c r="J6" s="14">
        <f>'Model'!E5</f>
        <v>1710.98235</v>
      </c>
    </row>
    <row r="7" ht="20.05" customHeight="1">
      <c r="A7" t="s" s="20">
        <v>38</v>
      </c>
      <c r="B7" s="13">
        <v>1062.9</v>
      </c>
      <c r="C7" s="14">
        <v>1349.5</v>
      </c>
      <c r="D7" s="14">
        <v>1724.4</v>
      </c>
      <c r="E7" s="14">
        <v>1465.6</v>
      </c>
      <c r="F7" s="14">
        <f>2516.2-E7</f>
        <v>1050.6</v>
      </c>
      <c r="G7" s="14"/>
      <c r="H7" s="14"/>
      <c r="I7" s="14"/>
      <c r="J7" s="14"/>
    </row>
    <row r="8" ht="20.05" customHeight="1">
      <c r="A8" t="s" s="20">
        <v>10</v>
      </c>
      <c r="B8" s="13">
        <v>107.5</v>
      </c>
      <c r="C8" s="14">
        <v>48.87</v>
      </c>
      <c r="D8" s="14">
        <v>198.9</v>
      </c>
      <c r="E8" s="14">
        <v>277.7</v>
      </c>
      <c r="F8" s="14">
        <f>496.78-E8</f>
        <v>219.08</v>
      </c>
      <c r="G8" s="14"/>
      <c r="H8" s="14"/>
      <c r="I8" s="14"/>
      <c r="J8" s="14"/>
    </row>
    <row r="9" ht="20.05" customHeight="1">
      <c r="A9" t="s" s="20">
        <v>11</v>
      </c>
      <c r="B9" s="13">
        <v>-148.3</v>
      </c>
      <c r="C9" s="14">
        <v>-47.5</v>
      </c>
      <c r="D9" s="14">
        <v>-105.3</v>
      </c>
      <c r="E9" s="14">
        <v>-57.7</v>
      </c>
      <c r="F9" s="14">
        <f>-141.78-E9</f>
        <v>-84.08</v>
      </c>
      <c r="G9" s="14"/>
      <c r="H9" s="14"/>
      <c r="I9" s="14"/>
      <c r="J9" s="14"/>
    </row>
    <row r="10" ht="20.05" customHeight="1">
      <c r="A10" t="s" s="20">
        <v>39</v>
      </c>
      <c r="B10" s="13"/>
      <c r="C10" s="14">
        <v>-5.9</v>
      </c>
      <c r="D10" s="14">
        <v>-8.6</v>
      </c>
      <c r="E10" s="14">
        <v>-4.6</v>
      </c>
      <c r="F10" s="14">
        <f>-7.6-E10</f>
        <v>-3</v>
      </c>
      <c r="G10" s="14"/>
      <c r="H10" s="14"/>
      <c r="I10" s="14"/>
      <c r="J10" s="14"/>
    </row>
    <row r="11" ht="20.05" customHeight="1">
      <c r="A11" t="s" s="20">
        <v>40</v>
      </c>
      <c r="B11" s="13">
        <v>-0.7</v>
      </c>
      <c r="C11" s="14">
        <v>-4.73</v>
      </c>
      <c r="D11" s="14">
        <v>-4.8</v>
      </c>
      <c r="E11" s="14">
        <v>-1.7</v>
      </c>
      <c r="F11" s="14">
        <f>-2.6-E11</f>
        <v>-0.9</v>
      </c>
      <c r="G11" s="14"/>
      <c r="H11" s="14"/>
      <c r="I11" s="14"/>
      <c r="J11" s="14"/>
    </row>
    <row r="12" ht="20.05" customHeight="1">
      <c r="A12" t="s" s="20">
        <v>12</v>
      </c>
      <c r="B12" s="13">
        <f>-51.57-B11-B13</f>
        <v>-0.87</v>
      </c>
      <c r="C12" s="14">
        <f>5.7-C11-C10</f>
        <v>16.33</v>
      </c>
      <c r="D12" s="14">
        <f>-31.95-D11-D10</f>
        <v>-18.55</v>
      </c>
      <c r="E12" s="14">
        <f>-188.4-E13-E11-E10</f>
        <v>-0.1</v>
      </c>
      <c r="F12" s="14">
        <f>-410.4-E12-E11-E10-E13-F13-F11-F10</f>
        <v>-0.1</v>
      </c>
      <c r="G12" s="14"/>
      <c r="H12" s="14"/>
      <c r="I12" s="14"/>
      <c r="J12" s="14"/>
    </row>
    <row r="13" ht="20.05" customHeight="1">
      <c r="A13" t="s" s="20">
        <v>13</v>
      </c>
      <c r="B13" s="13">
        <v>-50</v>
      </c>
      <c r="C13" s="14"/>
      <c r="D13" s="14"/>
      <c r="E13" s="14">
        <v>-182</v>
      </c>
      <c r="F13" s="14">
        <f>-400-E13</f>
        <v>-218</v>
      </c>
      <c r="G13" s="14"/>
      <c r="H13" s="14"/>
      <c r="I13" s="14"/>
      <c r="J13" s="14"/>
    </row>
    <row r="14" ht="20.05" customHeight="1">
      <c r="A14" t="s" s="20">
        <v>16</v>
      </c>
      <c r="B14" s="13">
        <f>90.639+0.483</f>
        <v>91.122</v>
      </c>
      <c r="C14" s="14">
        <f>B16-0.491</f>
        <v>-1.739</v>
      </c>
      <c r="D14" s="14">
        <f>C16</f>
        <v>5.331</v>
      </c>
      <c r="E14" s="14">
        <f>D16</f>
        <v>66.98099999999999</v>
      </c>
      <c r="F14" s="14">
        <f>E16</f>
        <v>98.581</v>
      </c>
      <c r="G14" s="14"/>
      <c r="H14" s="14"/>
      <c r="I14" s="14"/>
      <c r="J14" s="14"/>
    </row>
    <row r="15" ht="20.05" customHeight="1">
      <c r="A15" t="s" s="20">
        <v>17</v>
      </c>
      <c r="B15" s="13">
        <f>B8+B9+B10+B11+B12+B13</f>
        <v>-92.37</v>
      </c>
      <c r="C15" s="14">
        <f>C8+C9+C10+C11+C12+C13</f>
        <v>7.07</v>
      </c>
      <c r="D15" s="14">
        <f>D8+D9+D10+D11+D12+D13</f>
        <v>61.65</v>
      </c>
      <c r="E15" s="14">
        <f>E8+E9+E10+E11+E12+E13</f>
        <v>31.6</v>
      </c>
      <c r="F15" s="14">
        <f>F8+F9+F10+F11+F12+F13</f>
        <v>-87</v>
      </c>
      <c r="G15" s="22"/>
      <c r="H15" s="22"/>
      <c r="I15" s="22"/>
      <c r="J15" s="22"/>
    </row>
    <row r="16" ht="20.05" customHeight="1">
      <c r="A16" t="s" s="20">
        <v>18</v>
      </c>
      <c r="B16" s="13">
        <f>B14+B15</f>
        <v>-1.248</v>
      </c>
      <c r="C16" s="14">
        <f>C14+C15</f>
        <v>5.331</v>
      </c>
      <c r="D16" s="14">
        <f>D14+D15</f>
        <v>66.98099999999999</v>
      </c>
      <c r="E16" s="14">
        <f>E14+E15</f>
        <v>98.581</v>
      </c>
      <c r="F16" s="14">
        <f>F14+F15</f>
        <v>11.581</v>
      </c>
      <c r="G16" s="22"/>
      <c r="H16" s="22"/>
      <c r="I16" s="22"/>
      <c r="J16" s="22"/>
    </row>
    <row r="17" ht="20.05" customHeight="1">
      <c r="A17" s="31"/>
      <c r="B17" s="13"/>
      <c r="C17" s="14"/>
      <c r="D17" s="14"/>
      <c r="E17" s="14"/>
      <c r="F17" s="14"/>
      <c r="G17" s="22"/>
      <c r="H17" s="22"/>
      <c r="I17" s="22"/>
      <c r="J17" s="22"/>
    </row>
    <row r="18" ht="20.05" customHeight="1">
      <c r="A18" t="s" s="20">
        <v>8</v>
      </c>
      <c r="B18" s="13">
        <v>27.7</v>
      </c>
      <c r="C18" s="14">
        <v>36.3</v>
      </c>
      <c r="D18" s="14">
        <v>54.3</v>
      </c>
      <c r="E18" s="14">
        <v>28.95</v>
      </c>
      <c r="F18" s="14">
        <f>44.6-E18</f>
        <v>15.65</v>
      </c>
      <c r="G18" s="14"/>
      <c r="H18" s="14"/>
      <c r="I18" s="14"/>
      <c r="J18" s="14"/>
    </row>
    <row r="19" ht="20.05" customHeight="1">
      <c r="A19" t="s" s="20">
        <v>9</v>
      </c>
      <c r="B19" s="13">
        <v>83.2</v>
      </c>
      <c r="C19" s="14">
        <v>107.88</v>
      </c>
      <c r="D19" s="14">
        <v>177</v>
      </c>
      <c r="E19" s="14">
        <v>364.5</v>
      </c>
      <c r="F19" s="14">
        <f>605.5-E19</f>
        <v>241</v>
      </c>
      <c r="G19" s="14"/>
      <c r="H19" s="14"/>
      <c r="I19" s="14"/>
      <c r="J19" s="14"/>
    </row>
    <row r="20" ht="20.05" customHeight="1">
      <c r="A20" t="s" s="20">
        <v>6</v>
      </c>
      <c r="B20" s="15">
        <f>(B18+B19-B4)/B4</f>
        <v>-0.8979666942681021</v>
      </c>
      <c r="C20" s="16">
        <f>(C18+C19-C4)/C4</f>
        <v>-0.896333045729077</v>
      </c>
      <c r="D20" s="16">
        <f>(D18+D19-D4)/D4</f>
        <v>-0.87577606393263</v>
      </c>
      <c r="E20" s="16">
        <f>(E19+E18-E4)/E4</f>
        <v>-0.751256519677572</v>
      </c>
      <c r="F20" s="16">
        <f>(F19+F18-F4)/F4</f>
        <v>-0.7713076408999781</v>
      </c>
      <c r="G20" s="16">
        <f>'Model'!B6</f>
        <v>-0.7713076408999781</v>
      </c>
      <c r="H20" s="16"/>
      <c r="I20" s="16"/>
      <c r="J20" s="16"/>
    </row>
    <row r="21" ht="20.05" customHeight="1">
      <c r="A21" s="31"/>
      <c r="B21" s="13"/>
      <c r="C21" s="14"/>
      <c r="D21" s="14"/>
      <c r="E21" s="14"/>
      <c r="F21" s="14"/>
      <c r="G21" s="14"/>
      <c r="H21" s="14"/>
      <c r="I21" s="14"/>
      <c r="J21" s="14"/>
    </row>
    <row r="22" ht="20.05" customHeight="1">
      <c r="A22" t="s" s="20">
        <v>41</v>
      </c>
      <c r="B22" s="13">
        <v>659.7</v>
      </c>
      <c r="C22" s="14">
        <v>815.3</v>
      </c>
      <c r="D22" s="14">
        <v>1086.8</v>
      </c>
      <c r="E22" s="14">
        <v>1394.9</v>
      </c>
      <c r="F22" s="14">
        <v>1568.14</v>
      </c>
      <c r="G22" s="14"/>
      <c r="H22" s="14"/>
      <c r="I22" s="14"/>
      <c r="J22" s="14"/>
    </row>
    <row r="23" ht="20.05" customHeight="1">
      <c r="A23" t="s" s="20">
        <v>21</v>
      </c>
      <c r="B23" s="32">
        <v>124.1</v>
      </c>
      <c r="C23" s="17">
        <v>159.1</v>
      </c>
      <c r="D23" s="17">
        <v>212.6</v>
      </c>
      <c r="E23" s="17">
        <v>241</v>
      </c>
      <c r="F23" s="17">
        <v>256.5</v>
      </c>
      <c r="G23" s="17"/>
      <c r="H23" s="17"/>
      <c r="I23" s="17"/>
      <c r="J23" s="17"/>
    </row>
    <row r="24" ht="20.05" customHeight="1">
      <c r="A24" t="s" s="20">
        <v>20</v>
      </c>
      <c r="B24" s="13">
        <f>B22-B16</f>
        <v>660.948</v>
      </c>
      <c r="C24" s="14">
        <f>C22-C16</f>
        <v>809.9690000000001</v>
      </c>
      <c r="D24" s="14">
        <f>D22-D16</f>
        <v>1019.819</v>
      </c>
      <c r="E24" s="14">
        <f>E22-E16</f>
        <v>1296.319</v>
      </c>
      <c r="F24" s="14">
        <f>F22-F16</f>
        <v>1556.559</v>
      </c>
      <c r="G24" s="22"/>
      <c r="H24" s="22"/>
      <c r="I24" s="22"/>
      <c r="J24" s="22"/>
    </row>
    <row r="25" ht="20.05" customHeight="1">
      <c r="A25" t="s" s="20">
        <v>12</v>
      </c>
      <c r="B25" s="13">
        <v>207.98</v>
      </c>
      <c r="C25" s="14">
        <v>256.54</v>
      </c>
      <c r="D25" s="14">
        <v>352.4</v>
      </c>
      <c r="E25" s="14">
        <v>692.66</v>
      </c>
      <c r="F25" s="17">
        <v>625.1799999999999</v>
      </c>
      <c r="G25" s="22"/>
      <c r="H25" s="22"/>
      <c r="I25" s="22"/>
      <c r="J25" s="22"/>
    </row>
    <row r="26" ht="20.05" customHeight="1">
      <c r="A26" t="s" s="20">
        <v>13</v>
      </c>
      <c r="B26" s="13">
        <v>451.69</v>
      </c>
      <c r="C26" s="14">
        <v>558.75</v>
      </c>
      <c r="D26" s="14">
        <v>734.38</v>
      </c>
      <c r="E26" s="14">
        <v>701.9400000000001</v>
      </c>
      <c r="F26" s="17">
        <v>942.96</v>
      </c>
      <c r="G26" s="22"/>
      <c r="H26" s="22"/>
      <c r="I26" s="22"/>
      <c r="J26" s="22"/>
    </row>
    <row r="27" ht="20.05" customHeight="1">
      <c r="A27" t="s" s="20">
        <v>22</v>
      </c>
      <c r="B27" s="13">
        <f>B25+B26-B16-B24</f>
        <v>-0.03</v>
      </c>
      <c r="C27" s="14">
        <f>C25+C26-C16-C24</f>
        <v>-0.01</v>
      </c>
      <c r="D27" s="14">
        <f>D25+D26-D16-D24</f>
        <v>-0.02</v>
      </c>
      <c r="E27" s="14">
        <f>E25+E26-E16-E24</f>
        <v>-0.3</v>
      </c>
      <c r="F27" s="14">
        <f>F25+F26-F16-F24</f>
        <v>0</v>
      </c>
      <c r="G27" s="22"/>
      <c r="H27" s="22"/>
      <c r="I27" s="22"/>
      <c r="J27" s="22"/>
    </row>
    <row r="28" ht="20.05" customHeight="1">
      <c r="A28" t="s" s="20">
        <v>23</v>
      </c>
      <c r="B28" s="13">
        <f>B16-B25</f>
        <v>-209.228</v>
      </c>
      <c r="C28" s="14">
        <f>C16-C25</f>
        <v>-251.209</v>
      </c>
      <c r="D28" s="14">
        <f>D16-D25</f>
        <v>-285.419</v>
      </c>
      <c r="E28" s="14">
        <f>E16-E25</f>
        <v>-594.079</v>
      </c>
      <c r="F28" s="14">
        <f>F16-F25</f>
        <v>-613.599</v>
      </c>
      <c r="G28" s="22"/>
      <c r="H28" s="22"/>
      <c r="I28" s="22"/>
      <c r="J28" s="22"/>
    </row>
    <row r="29" ht="20.05" customHeight="1">
      <c r="A29" t="s" s="20">
        <v>30</v>
      </c>
      <c r="B29" s="15"/>
      <c r="C29" s="16"/>
      <c r="D29" s="16"/>
      <c r="E29" s="22"/>
      <c r="F29" s="14">
        <f>F28</f>
        <v>-613.599</v>
      </c>
      <c r="G29" s="17">
        <f>'Model'!E26</f>
        <v>-361.013204</v>
      </c>
      <c r="H29" s="22"/>
      <c r="I29" s="22"/>
      <c r="J29" s="22"/>
    </row>
    <row r="30" ht="20.05" customHeight="1">
      <c r="A30" t="s" s="20">
        <v>42</v>
      </c>
      <c r="B30" s="15">
        <f>(B8-B7)/B7</f>
        <v>-0.898861605042807</v>
      </c>
      <c r="C30" s="16">
        <f>(C8-C7)/C7</f>
        <v>-0.963786587625046</v>
      </c>
      <c r="D30" s="16">
        <f>(D8-D7)/D7</f>
        <v>-0.884655532359081</v>
      </c>
      <c r="E30" s="16">
        <f>(E8-E7)/E7</f>
        <v>-0.810521288209607</v>
      </c>
      <c r="F30" s="16">
        <f>(F8-F7)/F7</f>
        <v>-0.79147154007234</v>
      </c>
      <c r="G30" s="22"/>
      <c r="H30" s="22"/>
      <c r="I30" s="22"/>
      <c r="J30" s="22"/>
    </row>
    <row r="31" ht="20.05" customHeight="1">
      <c r="A31" t="s" s="20">
        <v>3</v>
      </c>
      <c r="B31" s="13">
        <f>SUM(B8:B11)/4</f>
        <v>-10.375</v>
      </c>
      <c r="C31" s="14">
        <f>SUM(C8:C11)/4</f>
        <v>-2.315</v>
      </c>
      <c r="D31" s="14">
        <f>SUM(D8:D11)/4</f>
        <v>20.05</v>
      </c>
      <c r="E31" s="14">
        <f>SUM(E8:E11)/2</f>
        <v>106.85</v>
      </c>
      <c r="F31" s="14">
        <f>SUM(F8:F11)</f>
        <v>131.1</v>
      </c>
      <c r="G31" s="14">
        <f>SUM('Model'!E10:E11)</f>
        <v>307.20859</v>
      </c>
      <c r="H31" s="14"/>
      <c r="I31" s="14"/>
      <c r="J31" s="14"/>
    </row>
    <row r="32" ht="20.05" customHeight="1">
      <c r="A32" t="s" s="20">
        <v>25</v>
      </c>
      <c r="B32" s="13">
        <f>-(B12+B13)</f>
        <v>50.87</v>
      </c>
      <c r="C32" s="14">
        <f>-(C12+C13)+B32</f>
        <v>34.54</v>
      </c>
      <c r="D32" s="14">
        <f>-(D12+D13)+C32</f>
        <v>53.09</v>
      </c>
      <c r="E32" s="14">
        <f>-(E12+E13)+D32</f>
        <v>235.19</v>
      </c>
      <c r="F32" s="14">
        <f>-(F12+F13)+E32</f>
        <v>453.29</v>
      </c>
      <c r="G32" s="14">
        <f>'Model'!E28</f>
        <v>1358.715676625</v>
      </c>
      <c r="H32" s="14"/>
      <c r="I32" s="14"/>
      <c r="J32" s="14"/>
    </row>
    <row r="33" ht="20.05" customHeight="1">
      <c r="A33" t="s" s="20">
        <v>43</v>
      </c>
      <c r="B33" s="13"/>
      <c r="C33" s="14"/>
      <c r="D33" s="22"/>
      <c r="E33" s="14">
        <v>3440</v>
      </c>
      <c r="F33" s="14">
        <v>3440</v>
      </c>
      <c r="G33" s="14"/>
      <c r="H33" s="14"/>
      <c r="I33" s="14"/>
      <c r="J33" s="14"/>
    </row>
    <row r="34" ht="20.05" customHeight="1">
      <c r="A34" t="s" s="20">
        <v>34</v>
      </c>
      <c r="B34" s="13"/>
      <c r="C34" s="14"/>
      <c r="D34" s="14"/>
      <c r="E34" s="14"/>
      <c r="F34" s="14">
        <f>F33</f>
        <v>3440</v>
      </c>
      <c r="G34" s="14">
        <f>'Model'!E39</f>
        <v>4858.293871326010</v>
      </c>
      <c r="H34" s="14"/>
      <c r="I34" s="14"/>
      <c r="J34" s="14"/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