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" sheetId="3" r:id="rId6"/>
    <sheet name="Balance sheet" sheetId="4" r:id="rId7"/>
    <sheet name="Share price" sheetId="5" r:id="rId8"/>
  </sheets>
</workbook>
</file>

<file path=xl/sharedStrings.xml><?xml version="1.0" encoding="utf-8"?>
<sst xmlns="http://schemas.openxmlformats.org/spreadsheetml/2006/main" uniqueCount="62">
  <si>
    <t>Financial model</t>
  </si>
  <si>
    <t xml:space="preserve">Rpbn </t>
  </si>
  <si>
    <t>4Q 2021</t>
  </si>
  <si>
    <t>Cashflow</t>
  </si>
  <si>
    <t>Growth</t>
  </si>
  <si>
    <t>Sales</t>
  </si>
  <si>
    <t>Cost ratio</t>
  </si>
  <si>
    <t>Cash costs</t>
  </si>
  <si>
    <t>Operating</t>
  </si>
  <si>
    <t>Investment</t>
  </si>
  <si>
    <t>Finance</t>
  </si>
  <si>
    <t xml:space="preserve">Liabilities </t>
  </si>
  <si>
    <t>Equity</t>
  </si>
  <si>
    <t>Before revolver</t>
  </si>
  <si>
    <t>Revolver</t>
  </si>
  <si>
    <t>Beginning</t>
  </si>
  <si>
    <t>Change</t>
  </si>
  <si>
    <t>Ending</t>
  </si>
  <si>
    <t>Profit</t>
  </si>
  <si>
    <t xml:space="preserve">Depreciation </t>
  </si>
  <si>
    <t>Net profit</t>
  </si>
  <si>
    <t>Balance sheet</t>
  </si>
  <si>
    <t>Other assets</t>
  </si>
  <si>
    <t>Net other assets</t>
  </si>
  <si>
    <t>Check</t>
  </si>
  <si>
    <t xml:space="preserve">Net cash </t>
  </si>
  <si>
    <t xml:space="preserve">Valuation </t>
  </si>
  <si>
    <t>Capital</t>
  </si>
  <si>
    <t xml:space="preserve">Current value </t>
  </si>
  <si>
    <t>P/assets</t>
  </si>
  <si>
    <t>Yield</t>
  </si>
  <si>
    <t xml:space="preserve">Cashflow </t>
  </si>
  <si>
    <t xml:space="preserve">Payback </t>
  </si>
  <si>
    <t xml:space="preserve">Forecast </t>
  </si>
  <si>
    <t xml:space="preserve">Value </t>
  </si>
  <si>
    <t xml:space="preserve">Shares </t>
  </si>
  <si>
    <t xml:space="preserve">Target </t>
  </si>
  <si>
    <t xml:space="preserve">Current </t>
  </si>
  <si>
    <t xml:space="preserve">V target </t>
  </si>
  <si>
    <t xml:space="preserve">12 month growth </t>
  </si>
  <si>
    <t xml:space="preserve">Sales forecasts </t>
  </si>
  <si>
    <t>Profit quarterly</t>
  </si>
  <si>
    <t>Rpbn</t>
  </si>
  <si>
    <t xml:space="preserve">Sales growth </t>
  </si>
  <si>
    <t xml:space="preserve">Cost ratio </t>
  </si>
  <si>
    <t xml:space="preserve">Cashflow costs </t>
  </si>
  <si>
    <t>Receipts</t>
  </si>
  <si>
    <t>Lease</t>
  </si>
  <si>
    <t xml:space="preserve">Operating </t>
  </si>
  <si>
    <t>Capex</t>
  </si>
  <si>
    <t xml:space="preserve">Investing </t>
  </si>
  <si>
    <t xml:space="preserve">Finance </t>
  </si>
  <si>
    <t xml:space="preserve">Free cashflow </t>
  </si>
  <si>
    <t xml:space="preserve">Capital </t>
  </si>
  <si>
    <t xml:space="preserve">Cash </t>
  </si>
  <si>
    <t>Assets</t>
  </si>
  <si>
    <t xml:space="preserve">Equity </t>
  </si>
  <si>
    <t xml:space="preserve">Check </t>
  </si>
  <si>
    <t>Net cash</t>
  </si>
  <si>
    <t>Share price</t>
  </si>
  <si>
    <t>CMNP</t>
  </si>
  <si>
    <t>Target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</si>
</sst>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#,##0%"/>
    <numFmt numFmtId="60" formatCode="#,##0%_);[Red]\(#,##0%\)"/>
  </numFmts>
  <fonts count="3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41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horizontal="left"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3" borderId="2" applyNumberFormat="1" applyFont="1" applyFill="1" applyBorder="1" applyAlignment="1" applyProtection="0">
      <alignment vertical="top" wrapText="1"/>
    </xf>
    <xf numFmtId="5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38" fontId="0" borderId="6" applyNumberFormat="1" applyFont="1" applyFill="0" applyBorder="1" applyAlignment="1" applyProtection="0">
      <alignment vertical="top" wrapText="1"/>
    </xf>
    <xf numFmtId="38" fontId="0" borderId="7" applyNumberFormat="1" applyFont="1" applyFill="0" applyBorder="1" applyAlignment="1" applyProtection="0">
      <alignment vertical="top" wrapText="1"/>
    </xf>
    <xf numFmtId="59" fontId="0" borderId="6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0" fontId="0" borderId="6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2" borderId="1" applyNumberFormat="0" applyFont="1" applyFill="1" applyBorder="1" applyAlignment="1" applyProtection="0">
      <alignment horizontal="right" vertical="top" wrapText="1"/>
    </xf>
    <xf numFmtId="0" fontId="2" fillId="4" borderId="2" applyNumberFormat="1" applyFont="1" applyFill="1" applyBorder="1" applyAlignment="1" applyProtection="0">
      <alignment vertical="top" wrapText="1"/>
    </xf>
    <xf numFmtId="38" fontId="0" borderId="3" applyNumberFormat="1" applyFont="1" applyFill="0" applyBorder="1" applyAlignment="1" applyProtection="0">
      <alignment vertical="top" wrapText="1"/>
    </xf>
    <xf numFmtId="38" fontId="0" borderId="4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59" fontId="0" borderId="4" applyNumberFormat="1" applyFont="1" applyFill="0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0" fontId="0" borderId="6" applyNumberFormat="0" applyFont="1" applyFill="0" applyBorder="1" applyAlignment="1" applyProtection="0">
      <alignment vertical="top" wrapText="1"/>
    </xf>
    <xf numFmtId="60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3" fontId="0" borderId="3" applyNumberFormat="1" applyFont="1" applyFill="0" applyBorder="1" applyAlignment="1" applyProtection="0">
      <alignment vertical="top" wrapText="1"/>
    </xf>
    <xf numFmtId="0" fontId="0" borderId="4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545570</xdr:colOff>
      <xdr:row>2</xdr:row>
      <xdr:rowOff>23893</xdr:rowOff>
    </xdr:from>
    <xdr:to>
      <xdr:col>13</xdr:col>
      <xdr:colOff>316748</xdr:colOff>
      <xdr:row>46</xdr:row>
      <xdr:rowOff>85990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5536670" y="1084978"/>
          <a:ext cx="8483379" cy="1127111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F46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3.8516" style="1" customWidth="1"/>
    <col min="2" max="2" width="15.6172" style="1" customWidth="1"/>
    <col min="3" max="6" width="8.97656" style="1" customWidth="1"/>
    <col min="7" max="16384" width="16.3516" style="1" customWidth="1"/>
  </cols>
  <sheetData>
    <row r="1" ht="55.9" customHeight="1"/>
    <row r="2" ht="27.65" customHeight="1">
      <c r="B2" t="s" s="2">
        <v>0</v>
      </c>
      <c r="C2" s="2"/>
      <c r="D2" s="2"/>
      <c r="E2" s="2"/>
      <c r="F2" s="2"/>
    </row>
    <row r="3" ht="20.25" customHeight="1">
      <c r="B3" t="s" s="3">
        <v>1</v>
      </c>
      <c r="C3" t="s" s="4">
        <v>2</v>
      </c>
      <c r="D3" s="5"/>
      <c r="E3" s="5"/>
      <c r="F3" s="5"/>
    </row>
    <row r="4" ht="20.25" customHeight="1">
      <c r="B4" t="s" s="6">
        <v>3</v>
      </c>
      <c r="C4" s="7">
        <f>AVERAGE('Sales'!G27:G30)</f>
        <v>0.210999665429585</v>
      </c>
      <c r="D4" s="8"/>
      <c r="E4" s="8"/>
      <c r="F4" s="9">
        <f>AVERAGE(C5:F5)</f>
        <v>0.105</v>
      </c>
    </row>
    <row r="5" ht="20.05" customHeight="1">
      <c r="B5" t="s" s="10">
        <v>4</v>
      </c>
      <c r="C5" s="11">
        <v>0.65</v>
      </c>
      <c r="D5" s="12">
        <v>-0.25</v>
      </c>
      <c r="E5" s="12">
        <v>0.07000000000000001</v>
      </c>
      <c r="F5" s="12">
        <v>-0.05</v>
      </c>
    </row>
    <row r="6" ht="20.05" customHeight="1">
      <c r="B6" t="s" s="10">
        <v>5</v>
      </c>
      <c r="C6" s="13">
        <f>'Sales'!C30*(1+C5)</f>
        <v>1141.47</v>
      </c>
      <c r="D6" s="14">
        <f>C6*(1+D5)</f>
        <v>856.1025</v>
      </c>
      <c r="E6" s="14">
        <f>D6*(1+E5)</f>
        <v>916.029675</v>
      </c>
      <c r="F6" s="14">
        <f>E6*(1+F5)</f>
        <v>870.22819125</v>
      </c>
    </row>
    <row r="7" ht="20.05" customHeight="1">
      <c r="B7" t="s" s="10">
        <v>6</v>
      </c>
      <c r="C7" s="15">
        <f>AVERAGE('Sales'!J15:J30)</f>
        <v>-0.875354783941277</v>
      </c>
      <c r="D7" s="16">
        <f>AVERAGE('Sales'!H28)</f>
        <v>-0.672539489671932</v>
      </c>
      <c r="E7" s="16">
        <f>D7</f>
        <v>-0.672539489671932</v>
      </c>
      <c r="F7" s="16">
        <f>E7</f>
        <v>-0.672539489671932</v>
      </c>
    </row>
    <row r="8" ht="20.05" customHeight="1">
      <c r="B8" t="s" s="10">
        <v>7</v>
      </c>
      <c r="C8" s="17">
        <f>C6*C7</f>
        <v>-999.191225225449</v>
      </c>
      <c r="D8" s="18">
        <f>D6*D7</f>
        <v>-575.762738456865</v>
      </c>
      <c r="E8" s="18">
        <f>E6*E7</f>
        <v>-616.066130148846</v>
      </c>
      <c r="F8" s="18">
        <f>F6*F7</f>
        <v>-585.262823641403</v>
      </c>
    </row>
    <row r="9" ht="20.05" customHeight="1">
      <c r="B9" t="s" s="10">
        <v>8</v>
      </c>
      <c r="C9" s="17">
        <f>C6+C8</f>
        <v>142.278774774551</v>
      </c>
      <c r="D9" s="18">
        <f>D6+D8</f>
        <v>280.339761543135</v>
      </c>
      <c r="E9" s="18">
        <f>E6+E8</f>
        <v>299.963544851154</v>
      </c>
      <c r="F9" s="18">
        <f>F6+F8</f>
        <v>284.965367608597</v>
      </c>
    </row>
    <row r="10" ht="20.05" customHeight="1">
      <c r="B10" t="s" s="10">
        <v>9</v>
      </c>
      <c r="C10" s="17">
        <f>AVERAGE('Cashflow'!G28:G30)</f>
        <v>-65.1666666666667</v>
      </c>
      <c r="D10" s="18">
        <f>C10</f>
        <v>-65.1666666666667</v>
      </c>
      <c r="E10" s="18">
        <f>D10</f>
        <v>-65.1666666666667</v>
      </c>
      <c r="F10" s="18">
        <f>E10</f>
        <v>-65.1666666666667</v>
      </c>
    </row>
    <row r="11" ht="20.05" customHeight="1">
      <c r="B11" t="s" s="10">
        <v>10</v>
      </c>
      <c r="C11" s="17">
        <f>C12+C13+C15</f>
        <v>-77.112108107884</v>
      </c>
      <c r="D11" s="18">
        <f>D12+D13+D15</f>
        <v>-215.173094876468</v>
      </c>
      <c r="E11" s="18">
        <f>E12+E13+E15</f>
        <v>-234.796878184487</v>
      </c>
      <c r="F11" s="18">
        <f>F12+F13+F15</f>
        <v>-219.798700941930</v>
      </c>
    </row>
    <row r="12" ht="20.05" customHeight="1">
      <c r="B12" t="s" s="10">
        <v>11</v>
      </c>
      <c r="C12" s="17">
        <f>-('Balance sheet'!G27)/20</f>
        <v>-214.1</v>
      </c>
      <c r="D12" s="18">
        <f>-C26/20</f>
        <v>-203.395</v>
      </c>
      <c r="E12" s="18">
        <f>-D26/20</f>
        <v>-193.22525</v>
      </c>
      <c r="F12" s="18">
        <f>-E26/20</f>
        <v>-183.5639875</v>
      </c>
    </row>
    <row r="13" ht="20.05" customHeight="1">
      <c r="B13" t="s" s="10">
        <v>12</v>
      </c>
      <c r="C13" s="17">
        <f>IF(C21&gt;0,-C21*0,0)</f>
        <v>0</v>
      </c>
      <c r="D13" s="18">
        <f>IF(D21&gt;0,-D21*0,0)</f>
        <v>0</v>
      </c>
      <c r="E13" s="18">
        <f>IF(E21&gt;0,-E21*0,0)</f>
        <v>0</v>
      </c>
      <c r="F13" s="18">
        <f>IF(F21&gt;0,-F21*0,0)</f>
        <v>0</v>
      </c>
    </row>
    <row r="14" ht="20.05" customHeight="1">
      <c r="B14" t="s" s="10">
        <v>13</v>
      </c>
      <c r="C14" s="17">
        <f>C9+C10+C12+C13</f>
        <v>-136.987891892116</v>
      </c>
      <c r="D14" s="18">
        <f>D9+D10+D12+D13</f>
        <v>11.7780948764683</v>
      </c>
      <c r="E14" s="18">
        <f>E9+E10+E12+E13</f>
        <v>41.5716281844873</v>
      </c>
      <c r="F14" s="18">
        <f>F9+F10+F12+F13</f>
        <v>36.2347134419303</v>
      </c>
    </row>
    <row r="15" ht="20.05" customHeight="1">
      <c r="B15" t="s" s="10">
        <v>14</v>
      </c>
      <c r="C15" s="17">
        <f>-MIN(0,C14)</f>
        <v>136.987891892116</v>
      </c>
      <c r="D15" s="18">
        <f>-MIN(C27,D14)</f>
        <v>-11.7780948764683</v>
      </c>
      <c r="E15" s="18">
        <f>-MIN(D27,E14)</f>
        <v>-41.5716281844873</v>
      </c>
      <c r="F15" s="18">
        <f>-MIN(E27,F14)</f>
        <v>-36.2347134419303</v>
      </c>
    </row>
    <row r="16" ht="20.05" customHeight="1">
      <c r="B16" t="s" s="10">
        <v>15</v>
      </c>
      <c r="C16" s="17">
        <f>'Balance sheet'!C27</f>
        <v>913</v>
      </c>
      <c r="D16" s="18">
        <f>C18</f>
        <v>913</v>
      </c>
      <c r="E16" s="18">
        <f>D18</f>
        <v>913</v>
      </c>
      <c r="F16" s="18">
        <f>E18</f>
        <v>913</v>
      </c>
    </row>
    <row r="17" ht="20.05" customHeight="1">
      <c r="B17" t="s" s="10">
        <v>16</v>
      </c>
      <c r="C17" s="17">
        <f>C9+C10+C11</f>
        <v>3e-13</v>
      </c>
      <c r="D17" s="18">
        <f>D9+D10+D11</f>
        <v>3e-13</v>
      </c>
      <c r="E17" s="18">
        <f>E9+E10+E11</f>
        <v>3e-13</v>
      </c>
      <c r="F17" s="18">
        <f>F9+F10+F11</f>
        <v>3e-13</v>
      </c>
    </row>
    <row r="18" ht="20.05" customHeight="1">
      <c r="B18" t="s" s="10">
        <v>17</v>
      </c>
      <c r="C18" s="17">
        <f>C16+C17</f>
        <v>913</v>
      </c>
      <c r="D18" s="18">
        <f>D16+D17</f>
        <v>913</v>
      </c>
      <c r="E18" s="18">
        <f>E16+E17</f>
        <v>913</v>
      </c>
      <c r="F18" s="18">
        <f>F16+F17</f>
        <v>913</v>
      </c>
    </row>
    <row r="19" ht="20.05" customHeight="1">
      <c r="B19" t="s" s="19">
        <v>18</v>
      </c>
      <c r="C19" s="17"/>
      <c r="D19" s="18"/>
      <c r="E19" s="18"/>
      <c r="F19" s="18"/>
    </row>
    <row r="20" ht="20.05" customHeight="1">
      <c r="B20" t="s" s="10">
        <v>19</v>
      </c>
      <c r="C20" s="17">
        <f>-AVERAGE('Sales'!E30)</f>
        <v>-26</v>
      </c>
      <c r="D20" s="18">
        <f>C20</f>
        <v>-26</v>
      </c>
      <c r="E20" s="18">
        <f>D20</f>
        <v>-26</v>
      </c>
      <c r="F20" s="18">
        <f>E20</f>
        <v>-26</v>
      </c>
    </row>
    <row r="21" ht="20.05" customHeight="1">
      <c r="B21" t="s" s="10">
        <v>20</v>
      </c>
      <c r="C21" s="17">
        <f>C6+C8+C20</f>
        <v>116.278774774551</v>
      </c>
      <c r="D21" s="18">
        <f>D6+D8+D20</f>
        <v>254.339761543135</v>
      </c>
      <c r="E21" s="18">
        <f>E6+E8+E20</f>
        <v>273.963544851154</v>
      </c>
      <c r="F21" s="18">
        <f>F6+F8+F20</f>
        <v>258.965367608597</v>
      </c>
    </row>
    <row r="22" ht="20.05" customHeight="1">
      <c r="B22" t="s" s="19">
        <v>21</v>
      </c>
      <c r="C22" s="17"/>
      <c r="D22" s="18"/>
      <c r="E22" s="18"/>
      <c r="F22" s="18"/>
    </row>
    <row r="23" ht="20.05" customHeight="1">
      <c r="B23" t="s" s="10">
        <v>22</v>
      </c>
      <c r="C23" s="17">
        <f>'Balance sheet'!E27+'Balance sheet'!F27-C10</f>
        <v>15821.1666666667</v>
      </c>
      <c r="D23" s="18">
        <f>C23-D10</f>
        <v>15886.3333333334</v>
      </c>
      <c r="E23" s="18">
        <f>D23-E10</f>
        <v>15951.5000000001</v>
      </c>
      <c r="F23" s="18">
        <f>E23-F10</f>
        <v>16016.6666666668</v>
      </c>
    </row>
    <row r="24" ht="20.05" customHeight="1">
      <c r="B24" t="s" s="10">
        <v>19</v>
      </c>
      <c r="C24" s="17">
        <f>'Balance sheet'!F27-C20</f>
        <v>1969</v>
      </c>
      <c r="D24" s="18">
        <f>C24-D20</f>
        <v>1995</v>
      </c>
      <c r="E24" s="18">
        <f>D24-E20</f>
        <v>2021</v>
      </c>
      <c r="F24" s="18">
        <f>E24-F20</f>
        <v>2047</v>
      </c>
    </row>
    <row r="25" ht="20.05" customHeight="1">
      <c r="B25" t="s" s="10">
        <v>23</v>
      </c>
      <c r="C25" s="17">
        <f>C23-C24</f>
        <v>13852.1666666667</v>
      </c>
      <c r="D25" s="18">
        <f>D23-D24</f>
        <v>13891.3333333334</v>
      </c>
      <c r="E25" s="18">
        <f>E23-E24</f>
        <v>13930.5000000001</v>
      </c>
      <c r="F25" s="18">
        <f>F23-F24</f>
        <v>13969.6666666668</v>
      </c>
    </row>
    <row r="26" ht="20.05" customHeight="1">
      <c r="B26" t="s" s="10">
        <v>11</v>
      </c>
      <c r="C26" s="17">
        <f>'Balance sheet'!G27+C12</f>
        <v>4067.9</v>
      </c>
      <c r="D26" s="18">
        <f>C26+D12</f>
        <v>3864.505</v>
      </c>
      <c r="E26" s="18">
        <f>D26+E12</f>
        <v>3671.27975</v>
      </c>
      <c r="F26" s="18">
        <f>E26+F12</f>
        <v>3487.7157625</v>
      </c>
    </row>
    <row r="27" ht="20.05" customHeight="1">
      <c r="B27" t="s" s="10">
        <v>14</v>
      </c>
      <c r="C27" s="17">
        <f>C15</f>
        <v>136.987891892116</v>
      </c>
      <c r="D27" s="18">
        <f>C27+D15</f>
        <v>125.209797015648</v>
      </c>
      <c r="E27" s="18">
        <f>D27+E15</f>
        <v>83.6381688311607</v>
      </c>
      <c r="F27" s="18">
        <f>E27+F15</f>
        <v>47.4034553892304</v>
      </c>
    </row>
    <row r="28" ht="20.05" customHeight="1">
      <c r="B28" t="s" s="10">
        <v>12</v>
      </c>
      <c r="C28" s="17">
        <f>'Balance sheet'!H27+C21+C13</f>
        <v>10560.2787747746</v>
      </c>
      <c r="D28" s="18">
        <f>C28+D21+D13</f>
        <v>10814.6185363177</v>
      </c>
      <c r="E28" s="18">
        <f>D28+E21+E13</f>
        <v>11088.5820811689</v>
      </c>
      <c r="F28" s="18">
        <f>E28+F21+F13</f>
        <v>11347.5474487775</v>
      </c>
    </row>
    <row r="29" ht="20.05" customHeight="1">
      <c r="B29" t="s" s="10">
        <v>24</v>
      </c>
      <c r="C29" s="17">
        <f>C26+C27+C28-C18-C25</f>
        <v>1.6e-11</v>
      </c>
      <c r="D29" s="18">
        <f>D26+D27+D28-D18-D25</f>
        <v>-5.2e-11</v>
      </c>
      <c r="E29" s="18">
        <f>E26+E27+E28-E18-E25</f>
        <v>-3.93e-11</v>
      </c>
      <c r="F29" s="18">
        <f>F26+F27+F28-F18-F25</f>
        <v>-6.96e-11</v>
      </c>
    </row>
    <row r="30" ht="20.05" customHeight="1">
      <c r="B30" t="s" s="10">
        <v>25</v>
      </c>
      <c r="C30" s="17">
        <f>C18-C26-C27</f>
        <v>-3291.887891892120</v>
      </c>
      <c r="D30" s="18">
        <f>D18-D26-D27</f>
        <v>-3076.714797015650</v>
      </c>
      <c r="E30" s="18">
        <f>E18-E26-E27</f>
        <v>-2841.917918831160</v>
      </c>
      <c r="F30" s="18">
        <f>F18-F26-F27</f>
        <v>-2622.119217889230</v>
      </c>
    </row>
    <row r="31" ht="20.05" customHeight="1">
      <c r="B31" t="s" s="19">
        <v>26</v>
      </c>
      <c r="C31" s="17"/>
      <c r="D31" s="18"/>
      <c r="E31" s="18"/>
      <c r="F31" s="18"/>
    </row>
    <row r="32" ht="20.05" customHeight="1">
      <c r="B32" t="s" s="10">
        <v>27</v>
      </c>
      <c r="C32" s="17">
        <f>'Cashflow'!M30-C11</f>
        <v>-3450.387891892120</v>
      </c>
      <c r="D32" s="18">
        <f>C32-D11</f>
        <v>-3235.214797015650</v>
      </c>
      <c r="E32" s="18">
        <f>D32-E11</f>
        <v>-3000.417918831160</v>
      </c>
      <c r="F32" s="18">
        <f>E32-F11</f>
        <v>-2780.619217889230</v>
      </c>
    </row>
    <row r="33" ht="20.05" customHeight="1">
      <c r="B33" t="s" s="10">
        <v>28</v>
      </c>
      <c r="C33" s="17"/>
      <c r="D33" s="18"/>
      <c r="E33" s="18"/>
      <c r="F33" s="18">
        <v>8825</v>
      </c>
    </row>
    <row r="34" ht="20.05" customHeight="1">
      <c r="B34" t="s" s="10">
        <v>29</v>
      </c>
      <c r="C34" s="17"/>
      <c r="D34" s="18"/>
      <c r="E34" s="18"/>
      <c r="F34" s="20">
        <f>F33/(F18+F25)</f>
        <v>0.5929716896613459</v>
      </c>
    </row>
    <row r="35" ht="20.05" customHeight="1">
      <c r="B35" t="s" s="10">
        <v>30</v>
      </c>
      <c r="C35" s="17"/>
      <c r="D35" s="18"/>
      <c r="E35" s="18"/>
      <c r="F35" s="16">
        <f>-(C13+D13+E13+F13)/F33</f>
        <v>0</v>
      </c>
    </row>
    <row r="36" ht="20.05" customHeight="1">
      <c r="B36" t="s" s="10">
        <v>31</v>
      </c>
      <c r="C36" s="17"/>
      <c r="D36" s="18"/>
      <c r="E36" s="18"/>
      <c r="F36" s="18">
        <f>SUM(F9:F10)*4</f>
        <v>879.1948037677211</v>
      </c>
    </row>
    <row r="37" ht="20.05" customHeight="1">
      <c r="B37" t="s" s="10">
        <v>32</v>
      </c>
      <c r="C37" s="17"/>
      <c r="D37" s="18"/>
      <c r="E37" s="18"/>
      <c r="F37" s="18">
        <f>'Balance sheet'!E27/F36</f>
        <v>15.7109663760585</v>
      </c>
    </row>
    <row r="38" ht="20.05" customHeight="1">
      <c r="B38" t="s" s="10">
        <v>26</v>
      </c>
      <c r="C38" s="17"/>
      <c r="D38" s="18"/>
      <c r="E38" s="18"/>
      <c r="F38" s="18">
        <f>F33/F36</f>
        <v>10.0375934459362</v>
      </c>
    </row>
    <row r="39" ht="20.05" customHeight="1">
      <c r="B39" t="s" s="10">
        <v>33</v>
      </c>
      <c r="C39" s="17"/>
      <c r="D39" s="18"/>
      <c r="E39" s="18"/>
      <c r="F39" s="18">
        <v>13</v>
      </c>
    </row>
    <row r="40" ht="20.05" customHeight="1">
      <c r="B40" t="s" s="10">
        <v>34</v>
      </c>
      <c r="C40" s="17"/>
      <c r="D40" s="18"/>
      <c r="E40" s="18"/>
      <c r="F40" s="18">
        <f>F36*F39</f>
        <v>11429.5324489804</v>
      </c>
    </row>
    <row r="41" ht="20.05" customHeight="1">
      <c r="B41" t="s" s="10">
        <v>35</v>
      </c>
      <c r="C41" s="17"/>
      <c r="D41" s="18"/>
      <c r="E41" s="18"/>
      <c r="F41" s="18">
        <f>F33/F43</f>
        <v>5.43076923076923</v>
      </c>
    </row>
    <row r="42" ht="20.05" customHeight="1">
      <c r="B42" t="s" s="10">
        <v>36</v>
      </c>
      <c r="C42" s="17"/>
      <c r="D42" s="18"/>
      <c r="E42" s="18"/>
      <c r="F42" s="18">
        <f>F40/F41</f>
        <v>2104.588127999220</v>
      </c>
    </row>
    <row r="43" ht="20.05" customHeight="1">
      <c r="B43" t="s" s="10">
        <v>37</v>
      </c>
      <c r="C43" s="17"/>
      <c r="D43" s="18"/>
      <c r="E43" s="18"/>
      <c r="F43" s="18">
        <f>'Share price'!C68</f>
        <v>1625</v>
      </c>
    </row>
    <row r="44" ht="20.05" customHeight="1">
      <c r="B44" t="s" s="10">
        <v>38</v>
      </c>
      <c r="C44" s="17"/>
      <c r="D44" s="18"/>
      <c r="E44" s="18"/>
      <c r="F44" s="16">
        <f>F42/F43-1</f>
        <v>0.295131155691828</v>
      </c>
    </row>
    <row r="45" ht="20.05" customHeight="1">
      <c r="B45" t="s" s="10">
        <v>39</v>
      </c>
      <c r="C45" s="17"/>
      <c r="D45" s="18"/>
      <c r="E45" s="18"/>
      <c r="F45" s="16">
        <f>'Sales'!C30/'Sales'!C26-1</f>
        <v>0.438851913477537</v>
      </c>
    </row>
    <row r="46" ht="20.05" customHeight="1">
      <c r="B46" t="s" s="10">
        <v>40</v>
      </c>
      <c r="C46" s="21"/>
      <c r="D46" s="22"/>
      <c r="E46" s="22"/>
      <c r="F46" s="16">
        <f>('Sales'!D26+'Sales'!D27+'Sales'!D28+'Sales'!D29+'Sales'!D30)/('Sales'!C26+'Sales'!C27+'Sales'!C28+'Sales'!C29+'Sales'!C30)-1</f>
        <v>-1</v>
      </c>
    </row>
  </sheetData>
  <mergeCells count="1">
    <mergeCell ref="B2:F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3:J34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4.21094" style="23" customWidth="1"/>
    <col min="2" max="2" width="9.65625" style="23" customWidth="1"/>
    <col min="3" max="10" width="9.39844" style="23" customWidth="1"/>
    <col min="11" max="16384" width="16.3516" style="23" customWidth="1"/>
  </cols>
  <sheetData>
    <row r="1" ht="5.45" customHeight="1"/>
    <row r="2" ht="27.65" customHeight="1">
      <c r="B2" t="s" s="2">
        <v>41</v>
      </c>
      <c r="C2" s="2"/>
      <c r="D2" s="2"/>
      <c r="E2" s="2"/>
      <c r="F2" s="2"/>
      <c r="G2" s="2"/>
      <c r="H2" s="2"/>
      <c r="I2" s="2"/>
      <c r="J2" s="2"/>
    </row>
    <row r="3" ht="32.25" customHeight="1">
      <c r="B3" t="s" s="4">
        <v>42</v>
      </c>
      <c r="C3" t="s" s="4">
        <v>5</v>
      </c>
      <c r="D3" t="s" s="4">
        <v>33</v>
      </c>
      <c r="E3" t="s" s="4">
        <v>19</v>
      </c>
      <c r="F3" t="s" s="4">
        <v>20</v>
      </c>
      <c r="G3" t="s" s="4">
        <v>43</v>
      </c>
      <c r="H3" t="s" s="4">
        <v>44</v>
      </c>
      <c r="I3" s="24"/>
      <c r="J3" t="s" s="4">
        <v>45</v>
      </c>
    </row>
    <row r="4" ht="20.25" customHeight="1">
      <c r="B4" s="25">
        <v>2006</v>
      </c>
      <c r="C4" s="26">
        <v>474.8</v>
      </c>
      <c r="D4" s="27"/>
      <c r="E4" s="28">
        <v>77.2</v>
      </c>
      <c r="F4" s="28">
        <v>121.5</v>
      </c>
      <c r="G4" s="29"/>
      <c r="H4" s="29">
        <f>(E4+F4-C4)/C4</f>
        <v>-0.58150800336984</v>
      </c>
      <c r="I4" s="29"/>
      <c r="J4" s="29"/>
    </row>
    <row r="5" ht="20.05" customHeight="1">
      <c r="B5" s="30">
        <v>2007</v>
      </c>
      <c r="C5" s="13">
        <v>496.2</v>
      </c>
      <c r="D5" s="14"/>
      <c r="E5" s="22">
        <v>75.8</v>
      </c>
      <c r="F5" s="22">
        <v>120.6</v>
      </c>
      <c r="G5" s="16">
        <f>C5/C4-1</f>
        <v>0.0450716090985678</v>
      </c>
      <c r="H5" s="16">
        <f>(E5+F5-C5)/C5</f>
        <v>-0.604191858121725</v>
      </c>
      <c r="I5" s="16"/>
      <c r="J5" s="16"/>
    </row>
    <row r="6" ht="20.05" customHeight="1">
      <c r="B6" s="30">
        <v>2008</v>
      </c>
      <c r="C6" s="13">
        <v>572</v>
      </c>
      <c r="D6" s="14"/>
      <c r="E6" s="22">
        <v>100.5</v>
      </c>
      <c r="F6" s="22">
        <v>72.40000000000001</v>
      </c>
      <c r="G6" s="16">
        <f>C6/C5-1</f>
        <v>0.152760983474405</v>
      </c>
      <c r="H6" s="16">
        <f>(E6+F6-C6)/C6</f>
        <v>-0.697727272727273</v>
      </c>
      <c r="I6" s="16"/>
      <c r="J6" s="16"/>
    </row>
    <row r="7" ht="20.05" customHeight="1">
      <c r="B7" s="30">
        <v>2009</v>
      </c>
      <c r="C7" s="13">
        <v>631.5</v>
      </c>
      <c r="D7" s="14"/>
      <c r="E7" s="22">
        <v>117.2</v>
      </c>
      <c r="F7" s="22">
        <v>69.09999999999999</v>
      </c>
      <c r="G7" s="16">
        <f>C7/C6-1</f>
        <v>0.104020979020979</v>
      </c>
      <c r="H7" s="16">
        <f>(E7+F7-C7)/C7</f>
        <v>-0.704988123515439</v>
      </c>
      <c r="I7" s="16"/>
      <c r="J7" s="16"/>
    </row>
    <row r="8" ht="20.05" customHeight="1">
      <c r="B8" s="30">
        <v>2010</v>
      </c>
      <c r="C8" s="13">
        <v>750.4</v>
      </c>
      <c r="D8" s="14"/>
      <c r="E8" s="22">
        <v>114.5</v>
      </c>
      <c r="F8" s="22">
        <v>298.3</v>
      </c>
      <c r="G8" s="16">
        <f>C8/C7-1</f>
        <v>0.188281868566904</v>
      </c>
      <c r="H8" s="16">
        <f>(E8+F8-C8)/C8</f>
        <v>-0.449893390191898</v>
      </c>
      <c r="I8" s="31"/>
      <c r="J8" s="31"/>
    </row>
    <row r="9" ht="20.05" customHeight="1">
      <c r="B9" s="30">
        <v>2011</v>
      </c>
      <c r="C9" s="13">
        <v>803.4</v>
      </c>
      <c r="D9" s="14"/>
      <c r="E9" s="22">
        <v>118</v>
      </c>
      <c r="F9" s="22">
        <v>352.9</v>
      </c>
      <c r="G9" s="16">
        <f>C9/C8-1</f>
        <v>0.0706289978678038</v>
      </c>
      <c r="H9" s="16">
        <f>(E9+F9-C9)/C9</f>
        <v>-0.413866069205875</v>
      </c>
      <c r="I9" s="31"/>
      <c r="J9" s="31"/>
    </row>
    <row r="10" ht="20.05" customHeight="1">
      <c r="B10" s="30">
        <v>2012</v>
      </c>
      <c r="C10" s="13">
        <v>903.5</v>
      </c>
      <c r="D10" s="14"/>
      <c r="E10" s="22">
        <f>108.1+14.2</f>
        <v>122.3</v>
      </c>
      <c r="F10" s="22">
        <v>385.5</v>
      </c>
      <c r="G10" s="16">
        <f>C10/C9-1</f>
        <v>0.124595469255663</v>
      </c>
      <c r="H10" s="16">
        <f>(E10+F10-C10)/C10</f>
        <v>-0.437963475373547</v>
      </c>
      <c r="I10" s="31"/>
      <c r="J10" s="31"/>
    </row>
    <row r="11" ht="20.05" customHeight="1">
      <c r="B11" s="30">
        <v>2013</v>
      </c>
      <c r="C11" s="13">
        <v>962.6</v>
      </c>
      <c r="D11" s="14"/>
      <c r="E11" s="22">
        <f>108.2+21.3</f>
        <v>129.5</v>
      </c>
      <c r="F11" s="22">
        <v>402.4</v>
      </c>
      <c r="G11" s="16">
        <f>C11/C10-1</f>
        <v>0.0654122855561704</v>
      </c>
      <c r="H11" s="16">
        <f>(E11+F11-C11)/C11</f>
        <v>-0.447434032827758</v>
      </c>
      <c r="I11" s="31"/>
      <c r="J11" s="31"/>
    </row>
    <row r="12" ht="20.05" customHeight="1">
      <c r="B12" s="30">
        <v>2014</v>
      </c>
      <c r="C12" s="13">
        <v>1300.6</v>
      </c>
      <c r="D12" s="14"/>
      <c r="E12" s="22">
        <f>109+22.1</f>
        <v>131.1</v>
      </c>
      <c r="F12" s="22">
        <v>411.1</v>
      </c>
      <c r="G12" s="16">
        <f>C12/C11-1</f>
        <v>0.351132349885726</v>
      </c>
      <c r="H12" s="16">
        <f>(E12+F12-C12)/C12</f>
        <v>-0.583115485160695</v>
      </c>
      <c r="I12" s="31"/>
      <c r="J12" s="31"/>
    </row>
    <row r="13" ht="20.05" customHeight="1">
      <c r="B13" s="30">
        <v>2015</v>
      </c>
      <c r="C13" s="13">
        <v>1523.6</v>
      </c>
      <c r="D13" s="14"/>
      <c r="E13" s="22">
        <f>107.9+20</f>
        <v>127.9</v>
      </c>
      <c r="F13" s="22">
        <v>453.3</v>
      </c>
      <c r="G13" s="16">
        <f>C13/C12-1</f>
        <v>0.171459326464709</v>
      </c>
      <c r="H13" s="16">
        <f>(E13+F13-C13)/C13</f>
        <v>-0.618535048569178</v>
      </c>
      <c r="I13" s="31"/>
      <c r="J13" s="31"/>
    </row>
    <row r="14" ht="20.05" customHeight="1">
      <c r="B14" s="30">
        <v>2016</v>
      </c>
      <c r="C14" s="13">
        <v>2310</v>
      </c>
      <c r="D14" s="14"/>
      <c r="E14" s="22">
        <f>113.2+25.6</f>
        <v>138.8</v>
      </c>
      <c r="F14" s="22">
        <v>508.5</v>
      </c>
      <c r="G14" s="16">
        <f>C14/C13-1</f>
        <v>0.516145970070885</v>
      </c>
      <c r="H14" s="16">
        <f>(E14+F14-C14)/C14</f>
        <v>-0.71978354978355</v>
      </c>
      <c r="I14" s="31"/>
      <c r="J14" s="31"/>
    </row>
    <row r="15" ht="20.05" customHeight="1">
      <c r="B15" s="30">
        <v>2017</v>
      </c>
      <c r="C15" s="13">
        <v>2906.7</v>
      </c>
      <c r="D15" s="14"/>
      <c r="E15" s="22">
        <f>113.9+28</f>
        <v>141.9</v>
      </c>
      <c r="F15" s="22">
        <v>693.1</v>
      </c>
      <c r="G15" s="16">
        <f>C15/C14-1</f>
        <v>0.258311688311688</v>
      </c>
      <c r="H15" s="16">
        <f>(E15+F15-C15)/C15</f>
        <v>-0.712732652148485</v>
      </c>
      <c r="I15" s="16"/>
      <c r="J15" s="16">
        <f>('Cashflow'!E15-'Cashflow'!C15)/'Cashflow'!C15</f>
        <v>-0.718074413683654</v>
      </c>
    </row>
    <row r="16" ht="20.05" customHeight="1">
      <c r="B16" s="30">
        <v>2018</v>
      </c>
      <c r="C16" s="13">
        <v>641.5</v>
      </c>
      <c r="D16" s="14"/>
      <c r="E16" s="14">
        <v>47.1</v>
      </c>
      <c r="F16" s="14">
        <v>183.8</v>
      </c>
      <c r="G16" s="16">
        <f>C16/C15-1</f>
        <v>-0.779302989644614</v>
      </c>
      <c r="H16" s="16">
        <f>(E16+F16-C16)/C16</f>
        <v>-0.640062353858145</v>
      </c>
      <c r="I16" s="16">
        <f>AVERAGE(J13:J16)</f>
        <v>-0.742066840561687</v>
      </c>
      <c r="J16" s="16">
        <f>('Cashflow'!E16-'Cashflow'!C16)/'Cashflow'!C16</f>
        <v>-0.76605926743972</v>
      </c>
    </row>
    <row r="17" ht="20.05" customHeight="1">
      <c r="B17" s="32"/>
      <c r="C17" s="13">
        <v>804.5</v>
      </c>
      <c r="D17" s="14"/>
      <c r="E17" s="14">
        <v>50.3</v>
      </c>
      <c r="F17" s="14">
        <v>93.59999999999999</v>
      </c>
      <c r="G17" s="16">
        <f>C17/C16-1</f>
        <v>0.254091971940764</v>
      </c>
      <c r="H17" s="16">
        <f>(E17+F17-C17)/C17</f>
        <v>-0.821131137352393</v>
      </c>
      <c r="I17" s="16">
        <f>AVERAGE(J14:J17)</f>
        <v>-0.733062691149987</v>
      </c>
      <c r="J17" s="16">
        <f>('Cashflow'!E17-'Cashflow'!C17)/'Cashflow'!C17</f>
        <v>-0.715054392326588</v>
      </c>
    </row>
    <row r="18" ht="20.05" customHeight="1">
      <c r="B18" s="32"/>
      <c r="C18" s="13">
        <v>763.9</v>
      </c>
      <c r="D18" s="14"/>
      <c r="E18" s="14">
        <v>48.5</v>
      </c>
      <c r="F18" s="14">
        <v>252.9</v>
      </c>
      <c r="G18" s="16">
        <f>C18/C17-1</f>
        <v>-0.0504661280298322</v>
      </c>
      <c r="H18" s="16">
        <f>(E18+F18-C18)/C18</f>
        <v>-0.60544573897107</v>
      </c>
      <c r="I18" s="16">
        <f>AVERAGE(J15:J18)</f>
        <v>-0.795513880400363</v>
      </c>
      <c r="J18" s="16">
        <f>('Cashflow'!E18-'Cashflow'!C18)/'Cashflow'!C18</f>
        <v>-0.982867448151488</v>
      </c>
    </row>
    <row r="19" ht="20.05" customHeight="1">
      <c r="B19" s="32"/>
      <c r="C19" s="13">
        <v>1611.2</v>
      </c>
      <c r="D19" s="14"/>
      <c r="E19" s="14">
        <v>42.7</v>
      </c>
      <c r="F19" s="14">
        <v>200.3</v>
      </c>
      <c r="G19" s="16">
        <f>C19/C18-1</f>
        <v>1.109176593795</v>
      </c>
      <c r="H19" s="16">
        <f>(E19+F19-C19)/C19</f>
        <v>-0.849180734856008</v>
      </c>
      <c r="I19" s="16">
        <f>AVERAGE(J16:J19)</f>
        <v>-0.796459688892624</v>
      </c>
      <c r="J19" s="16">
        <f>('Cashflow'!E19-'Cashflow'!C19)/'Cashflow'!C19</f>
        <v>-0.721857647652701</v>
      </c>
    </row>
    <row r="20" ht="20.05" customHeight="1">
      <c r="B20" s="30">
        <v>2019</v>
      </c>
      <c r="C20" s="13">
        <v>772.8</v>
      </c>
      <c r="D20" s="14"/>
      <c r="E20" s="14">
        <v>59.8</v>
      </c>
      <c r="F20" s="14">
        <v>209</v>
      </c>
      <c r="G20" s="16">
        <f>C20/C19-1</f>
        <v>-0.520357497517378</v>
      </c>
      <c r="H20" s="16">
        <f>(E20+F20-C20)/C20</f>
        <v>-0.652173913043478</v>
      </c>
      <c r="I20" s="16">
        <f>AVERAGE(J17:J20)</f>
        <v>-0.745948879626029</v>
      </c>
      <c r="J20" s="16">
        <f>('Cashflow'!E20-'Cashflow'!C20)/'Cashflow'!C20</f>
        <v>-0.564016030373339</v>
      </c>
    </row>
    <row r="21" ht="20.05" customHeight="1">
      <c r="B21" s="32"/>
      <c r="C21" s="13">
        <v>787.1</v>
      </c>
      <c r="D21" s="14"/>
      <c r="E21" s="14">
        <v>59.5</v>
      </c>
      <c r="F21" s="14">
        <v>148.2</v>
      </c>
      <c r="G21" s="16">
        <f>C21/C20-1</f>
        <v>0.0185041407867495</v>
      </c>
      <c r="H21" s="16">
        <f>(E21+F21-C21)/C21</f>
        <v>-0.736119933934697</v>
      </c>
      <c r="I21" s="16">
        <f>AVERAGE(J18:J21)</f>
        <v>-0.7007705592308759</v>
      </c>
      <c r="J21" s="16">
        <f>('Cashflow'!E21-'Cashflow'!C21)/'Cashflow'!C21</f>
        <v>-0.534341110745974</v>
      </c>
    </row>
    <row r="22" ht="20.05" customHeight="1">
      <c r="B22" s="32"/>
      <c r="C22" s="13">
        <v>835.8</v>
      </c>
      <c r="D22" s="14"/>
      <c r="E22" s="14">
        <v>63.7</v>
      </c>
      <c r="F22" s="14">
        <v>114.7</v>
      </c>
      <c r="G22" s="16">
        <f>C22/C21-1</f>
        <v>0.0618726972430441</v>
      </c>
      <c r="H22" s="16">
        <f>(E22+F22-C22)/C22</f>
        <v>-0.7865518066523089</v>
      </c>
      <c r="I22" s="16">
        <f>AVERAGE(J19:J22)</f>
        <v>-0.634867613050609</v>
      </c>
      <c r="J22" s="16">
        <f>('Cashflow'!E22-'Cashflow'!C22)/'Cashflow'!C22</f>
        <v>-0.719255663430421</v>
      </c>
    </row>
    <row r="23" ht="20.05" customHeight="1">
      <c r="B23" s="32"/>
      <c r="C23" s="13">
        <v>1132.2</v>
      </c>
      <c r="D23" s="14"/>
      <c r="E23" s="14">
        <v>-60.3</v>
      </c>
      <c r="F23" s="14">
        <v>217.9</v>
      </c>
      <c r="G23" s="16">
        <f>C23/C22-1</f>
        <v>0.354630294328787</v>
      </c>
      <c r="H23" s="16">
        <f>(E23+F23-C23)/C23</f>
        <v>-0.8608019784490371</v>
      </c>
      <c r="I23" s="16">
        <f>AVERAGE(J20:J23)</f>
        <v>-0.735235088278451</v>
      </c>
      <c r="J23" s="16">
        <f>('Cashflow'!E23-'Cashflow'!C23)/'Cashflow'!C23</f>
        <v>-1.12332754856407</v>
      </c>
    </row>
    <row r="24" ht="20.05" customHeight="1">
      <c r="B24" s="30">
        <v>2020</v>
      </c>
      <c r="C24" s="13">
        <v>788.4</v>
      </c>
      <c r="D24" s="14"/>
      <c r="E24" s="14">
        <v>31.2</v>
      </c>
      <c r="F24" s="14">
        <v>165.2</v>
      </c>
      <c r="G24" s="16">
        <f>C24/C23-1</f>
        <v>-0.303656597774245</v>
      </c>
      <c r="H24" s="16">
        <f>(E24+F24-C24)/C24</f>
        <v>-0.750887874175545</v>
      </c>
      <c r="I24" s="16">
        <f>AVERAGE(J21:J24)</f>
        <v>-0.776564954266964</v>
      </c>
      <c r="J24" s="16">
        <f>('Cashflow'!E24-'Cashflow'!C24)/'Cashflow'!C24</f>
        <v>-0.729335494327391</v>
      </c>
    </row>
    <row r="25" ht="20.05" customHeight="1">
      <c r="B25" s="32"/>
      <c r="C25" s="13">
        <v>425.6</v>
      </c>
      <c r="D25" s="14"/>
      <c r="E25" s="14">
        <v>16.4</v>
      </c>
      <c r="F25" s="14">
        <v>68.3</v>
      </c>
      <c r="G25" s="16">
        <f>C25/C24-1</f>
        <v>-0.460172501268392</v>
      </c>
      <c r="H25" s="16">
        <f>(E25+F25-C25)/C25</f>
        <v>-0.8009868421052631</v>
      </c>
      <c r="I25" s="16">
        <f>AVERAGE(J22:J25)</f>
        <v>-0.9041518101946761</v>
      </c>
      <c r="J25" s="16">
        <f>('Cashflow'!E25-'Cashflow'!C25)/'Cashflow'!C25</f>
        <v>-1.04468853445682</v>
      </c>
    </row>
    <row r="26" ht="20.05" customHeight="1">
      <c r="B26" s="32"/>
      <c r="C26" s="13">
        <v>480.8</v>
      </c>
      <c r="D26" s="14"/>
      <c r="E26" s="14">
        <v>28.8</v>
      </c>
      <c r="F26" s="14">
        <v>85.3</v>
      </c>
      <c r="G26" s="16">
        <f>C26/C25-1</f>
        <v>0.129699248120301</v>
      </c>
      <c r="H26" s="16">
        <f>(E26+F26-C26)/C26</f>
        <v>-0.762687188019967</v>
      </c>
      <c r="I26" s="16">
        <f>AVERAGE(J23:J26)</f>
        <v>-1.48600456100374</v>
      </c>
      <c r="J26" s="16">
        <f>('Cashflow'!E26-'Cashflow'!C26)/'Cashflow'!C26</f>
        <v>-3.04666666666667</v>
      </c>
    </row>
    <row r="27" ht="20.05" customHeight="1">
      <c r="B27" s="32"/>
      <c r="C27" s="13">
        <v>893.7</v>
      </c>
      <c r="D27" s="14"/>
      <c r="E27" s="14">
        <v>31.9</v>
      </c>
      <c r="F27" s="14">
        <v>56.3</v>
      </c>
      <c r="G27" s="16">
        <f>C27/C26-1</f>
        <v>0.858777038269551</v>
      </c>
      <c r="H27" s="16">
        <f>(E27+F27-C27)/C27</f>
        <v>-0.9013091641490431</v>
      </c>
      <c r="I27" s="16">
        <f>AVERAGE(J24:J27)</f>
        <v>-1.39293614871969</v>
      </c>
      <c r="J27" s="16">
        <f>('Cashflow'!E27-'Cashflow'!C27)/'Cashflow'!C27</f>
        <v>-0.751053899427883</v>
      </c>
    </row>
    <row r="28" ht="20.05" customHeight="1">
      <c r="B28" s="30">
        <v>2021</v>
      </c>
      <c r="C28" s="13">
        <v>493.8</v>
      </c>
      <c r="D28" s="14"/>
      <c r="E28" s="14">
        <v>31.8</v>
      </c>
      <c r="F28" s="14">
        <v>129.9</v>
      </c>
      <c r="G28" s="16">
        <f>C28/C27-1</f>
        <v>-0.447465592480698</v>
      </c>
      <c r="H28" s="16">
        <f>(E28+F28-C28)/C28</f>
        <v>-0.672539489671932</v>
      </c>
      <c r="I28" s="16">
        <f>AVERAGE(J25:J28)</f>
        <v>-1.31496458958801</v>
      </c>
      <c r="J28" s="16">
        <f>('Cashflow'!E28-'Cashflow'!C28)/'Cashflow'!C28</f>
        <v>-0.417449257800666</v>
      </c>
    </row>
    <row r="29" ht="20.05" customHeight="1">
      <c r="B29" s="32"/>
      <c r="C29" s="13">
        <v>739</v>
      </c>
      <c r="D29" s="14"/>
      <c r="E29" s="14">
        <v>29</v>
      </c>
      <c r="F29" s="14">
        <v>175.3</v>
      </c>
      <c r="G29" s="16">
        <f>C29/C28-1</f>
        <v>0.496557310652086</v>
      </c>
      <c r="H29" s="16">
        <f>(E29+F29-C29)/C29</f>
        <v>-0.7235453315290929</v>
      </c>
      <c r="I29" s="16">
        <f>AVERAGE(J26:J29)</f>
        <v>-1.16603040860109</v>
      </c>
      <c r="J29" s="16">
        <f>('Cashflow'!E29-'Cashflow'!C29)/'Cashflow'!C29</f>
        <v>-0.448951810509121</v>
      </c>
    </row>
    <row r="30" ht="20.05" customHeight="1">
      <c r="B30" s="32"/>
      <c r="C30" s="13">
        <v>691.8</v>
      </c>
      <c r="D30" s="14"/>
      <c r="E30" s="14">
        <v>26</v>
      </c>
      <c r="F30" s="14">
        <v>176.4</v>
      </c>
      <c r="G30" s="16">
        <f>C30/C29-1</f>
        <v>-0.06387009472259809</v>
      </c>
      <c r="H30" s="16">
        <f>(E30+F30-C30)/C30</f>
        <v>-0.707429893032668</v>
      </c>
      <c r="I30" s="16">
        <f>AVERAGE(J27:J30)</f>
        <v>-0.585033081310398</v>
      </c>
      <c r="J30" s="16">
        <f>('Cashflow'!E30-'Cashflow'!C30)/'Cashflow'!C30</f>
        <v>-0.722677357503922</v>
      </c>
    </row>
    <row r="31" ht="20.05" customHeight="1">
      <c r="B31" s="32"/>
      <c r="C31" s="13"/>
      <c r="D31" s="14">
        <f>'Model'!C6</f>
        <v>1141.47</v>
      </c>
      <c r="E31" s="14"/>
      <c r="F31" s="14"/>
      <c r="G31" s="16"/>
      <c r="H31" s="16">
        <f>AVERAGE('Model'!C7:F7)</f>
        <v>-0.723243313239268</v>
      </c>
      <c r="I31" s="16"/>
      <c r="J31" s="16"/>
    </row>
    <row r="32" ht="20.05" customHeight="1">
      <c r="B32" s="30">
        <v>2022</v>
      </c>
      <c r="C32" s="33"/>
      <c r="D32" s="14">
        <f>'Model'!D6</f>
        <v>856.1025</v>
      </c>
      <c r="E32" s="14"/>
      <c r="F32" s="14"/>
      <c r="G32" s="16"/>
      <c r="H32" s="16"/>
      <c r="I32" s="16"/>
      <c r="J32" s="16"/>
    </row>
    <row r="33" ht="20.05" customHeight="1">
      <c r="B33" s="32"/>
      <c r="C33" s="13"/>
      <c r="D33" s="14">
        <f>'Model'!E6</f>
        <v>916.029675</v>
      </c>
      <c r="E33" s="14"/>
      <c r="F33" s="14"/>
      <c r="G33" s="14"/>
      <c r="H33" s="34"/>
      <c r="I33" s="34"/>
      <c r="J33" s="34"/>
    </row>
    <row r="34" ht="20.05" customHeight="1">
      <c r="B34" s="32"/>
      <c r="C34" s="13"/>
      <c r="D34" s="14">
        <f>'Model'!F6</f>
        <v>870.22819125</v>
      </c>
      <c r="E34" s="14"/>
      <c r="F34" s="14"/>
      <c r="G34" s="14"/>
      <c r="H34" s="34"/>
      <c r="I34" s="34"/>
      <c r="J34" s="34"/>
    </row>
  </sheetData>
  <mergeCells count="1">
    <mergeCell ref="B2:J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B3:M34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5.83594" style="35" customWidth="1"/>
    <col min="2" max="2" width="8.21094" style="35" customWidth="1"/>
    <col min="3" max="13" width="10.3047" style="35" customWidth="1"/>
    <col min="14" max="16384" width="16.3516" style="35" customWidth="1"/>
  </cols>
  <sheetData>
    <row r="1" ht="10.65" customHeight="1"/>
    <row r="2" ht="27.65" customHeight="1">
      <c r="B2" t="s" s="2">
        <v>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32.25" customHeight="1">
      <c r="B3" t="s" s="4">
        <v>42</v>
      </c>
      <c r="C3" t="s" s="4">
        <v>46</v>
      </c>
      <c r="D3" t="s" s="4">
        <v>47</v>
      </c>
      <c r="E3" t="s" s="4">
        <v>48</v>
      </c>
      <c r="F3" t="s" s="4">
        <v>49</v>
      </c>
      <c r="G3" t="s" s="4">
        <v>50</v>
      </c>
      <c r="H3" t="s" s="4">
        <v>11</v>
      </c>
      <c r="I3" t="s" s="4">
        <v>12</v>
      </c>
      <c r="J3" t="s" s="4">
        <v>51</v>
      </c>
      <c r="K3" t="s" s="4">
        <v>52</v>
      </c>
      <c r="L3" t="s" s="4">
        <v>31</v>
      </c>
      <c r="M3" t="s" s="4">
        <v>53</v>
      </c>
    </row>
    <row r="4" ht="20.25" customHeight="1">
      <c r="B4" s="25">
        <v>2006</v>
      </c>
      <c r="C4" s="36">
        <f>472.7+1.3</f>
        <v>474</v>
      </c>
      <c r="D4" s="28">
        <v>0</v>
      </c>
      <c r="E4" s="28">
        <v>217.8</v>
      </c>
      <c r="F4" s="28">
        <v>-226.7</v>
      </c>
      <c r="G4" s="28">
        <v>-216.6</v>
      </c>
      <c r="H4" s="28">
        <f>J4-I4-D4</f>
        <v>43.5</v>
      </c>
      <c r="I4" s="28">
        <v>-25</v>
      </c>
      <c r="J4" s="28">
        <v>18.5</v>
      </c>
      <c r="K4" s="28">
        <f>E4+G4</f>
        <v>1.2</v>
      </c>
      <c r="L4" s="37"/>
      <c r="M4" s="28">
        <f>-(H4+I4)</f>
        <v>-18.5</v>
      </c>
    </row>
    <row r="5" ht="20.05" customHeight="1">
      <c r="B5" s="30">
        <v>2007</v>
      </c>
      <c r="C5" s="21">
        <f>493.9+2.3</f>
        <v>496.2</v>
      </c>
      <c r="D5" s="22">
        <v>0</v>
      </c>
      <c r="E5" s="22">
        <v>244.1</v>
      </c>
      <c r="F5" s="22">
        <v>-899.1</v>
      </c>
      <c r="G5" s="22">
        <v>-932.4</v>
      </c>
      <c r="H5" s="22">
        <f>J5-I5-D5</f>
        <v>742.6</v>
      </c>
      <c r="I5" s="22">
        <v>-36</v>
      </c>
      <c r="J5" s="22">
        <v>706.6</v>
      </c>
      <c r="K5" s="22">
        <f>E5+G5</f>
        <v>-688.3</v>
      </c>
      <c r="L5" s="18"/>
      <c r="M5" s="22">
        <f>-(H5+I5)+M4</f>
        <v>-725.1</v>
      </c>
    </row>
    <row r="6" ht="20.05" customHeight="1">
      <c r="B6" s="30">
        <v>2008</v>
      </c>
      <c r="C6" s="21">
        <v>589.1</v>
      </c>
      <c r="D6" s="22">
        <v>0</v>
      </c>
      <c r="E6" s="22">
        <v>188</v>
      </c>
      <c r="F6" s="22">
        <v>-197.7</v>
      </c>
      <c r="G6" s="22">
        <v>-195</v>
      </c>
      <c r="H6" s="22">
        <f>J6-I6-D6</f>
        <v>-66.34999999999999</v>
      </c>
      <c r="I6" s="22">
        <v>0.05</v>
      </c>
      <c r="J6" s="22">
        <v>-66.3</v>
      </c>
      <c r="K6" s="22">
        <f>E6+G6</f>
        <v>-7</v>
      </c>
      <c r="L6" s="18"/>
      <c r="M6" s="22">
        <f>-(H6+I6)+M5</f>
        <v>-658.8</v>
      </c>
    </row>
    <row r="7" ht="20.05" customHeight="1">
      <c r="B7" s="30">
        <v>2009</v>
      </c>
      <c r="C7" s="21">
        <v>628.9</v>
      </c>
      <c r="D7" s="22">
        <v>-0.5</v>
      </c>
      <c r="E7" s="22">
        <v>276.1</v>
      </c>
      <c r="F7" s="22">
        <v>-18</v>
      </c>
      <c r="G7" s="22">
        <v>-108.1</v>
      </c>
      <c r="H7" s="22">
        <f>J7-I7-D7</f>
        <v>-131.05</v>
      </c>
      <c r="I7" s="22">
        <f>-18+0.05</f>
        <v>-17.95</v>
      </c>
      <c r="J7" s="22">
        <v>-149.5</v>
      </c>
      <c r="K7" s="22">
        <f>E7+G7</f>
        <v>168</v>
      </c>
      <c r="L7" s="18"/>
      <c r="M7" s="22">
        <f>-(H7+I7)+M6</f>
        <v>-509.8</v>
      </c>
    </row>
    <row r="8" ht="20.05" customHeight="1">
      <c r="B8" s="30">
        <v>2010</v>
      </c>
      <c r="C8" s="21">
        <v>749.9</v>
      </c>
      <c r="D8" s="22">
        <v>-3</v>
      </c>
      <c r="E8" s="22">
        <v>419.8</v>
      </c>
      <c r="F8" s="22">
        <v>-21.8</v>
      </c>
      <c r="G8" s="22">
        <v>75.7</v>
      </c>
      <c r="H8" s="22">
        <f>J8-I8-D8</f>
        <v>-163.78</v>
      </c>
      <c r="I8" s="22">
        <f>-20+0.08</f>
        <v>-19.92</v>
      </c>
      <c r="J8" s="22">
        <v>-186.7</v>
      </c>
      <c r="K8" s="22">
        <f>E8+G8</f>
        <v>495.5</v>
      </c>
      <c r="L8" s="22">
        <f>AVERAGE(K5:K8)</f>
        <v>-7.95</v>
      </c>
      <c r="M8" s="22">
        <f>-(H8+I8)+M7</f>
        <v>-326.1</v>
      </c>
    </row>
    <row r="9" ht="20.05" customHeight="1">
      <c r="B9" s="30">
        <v>2011</v>
      </c>
      <c r="C9" s="21">
        <v>803</v>
      </c>
      <c r="D9" s="22">
        <v>-3.2</v>
      </c>
      <c r="E9" s="22">
        <v>429.7</v>
      </c>
      <c r="F9" s="22">
        <v>-19.7</v>
      </c>
      <c r="G9" s="22">
        <v>-80.40000000000001</v>
      </c>
      <c r="H9" s="22">
        <f>J9-I9-D9</f>
        <v>-23.8</v>
      </c>
      <c r="I9" s="22">
        <f>-14.9+9.7</f>
        <v>-5.2</v>
      </c>
      <c r="J9" s="22">
        <v>-32.2</v>
      </c>
      <c r="K9" s="22">
        <f>E9+G9</f>
        <v>349.3</v>
      </c>
      <c r="L9" s="22">
        <f>AVERAGE(K6:K9)</f>
        <v>251.45</v>
      </c>
      <c r="M9" s="22">
        <f>-(H9+I9)+M8</f>
        <v>-297.1</v>
      </c>
    </row>
    <row r="10" ht="20.05" customHeight="1">
      <c r="B10" s="30">
        <v>2012</v>
      </c>
      <c r="C10" s="21">
        <f>888.6+4.1+18.1</f>
        <v>910.8</v>
      </c>
      <c r="D10" s="22">
        <v>-1.6</v>
      </c>
      <c r="E10" s="22">
        <v>530</v>
      </c>
      <c r="F10" s="22">
        <v>-56.5</v>
      </c>
      <c r="G10" s="22">
        <v>-72.8</v>
      </c>
      <c r="H10" s="22">
        <f>J10-I10-D10</f>
        <v>-39.2</v>
      </c>
      <c r="I10" s="22">
        <v>-36</v>
      </c>
      <c r="J10" s="22">
        <v>-76.8</v>
      </c>
      <c r="K10" s="22">
        <f>E10+G10</f>
        <v>457.2</v>
      </c>
      <c r="L10" s="22">
        <f>AVERAGE(K7:K10)</f>
        <v>367.5</v>
      </c>
      <c r="M10" s="22">
        <f>-(H10+I10)+M9</f>
        <v>-221.9</v>
      </c>
    </row>
    <row r="11" ht="20.05" customHeight="1">
      <c r="B11" s="30">
        <v>2013</v>
      </c>
      <c r="C11" s="21">
        <f>928.6+26.3+5.9</f>
        <v>960.8</v>
      </c>
      <c r="D11" s="22">
        <v>-2.3</v>
      </c>
      <c r="E11" s="22">
        <v>488.7</v>
      </c>
      <c r="F11" s="22">
        <v>-125.3</v>
      </c>
      <c r="G11" s="22">
        <v>-209</v>
      </c>
      <c r="H11" s="22">
        <f>J11-I11-D11</f>
        <v>-38.2</v>
      </c>
      <c r="I11" s="22">
        <f>280.1+67.5</f>
        <v>347.6</v>
      </c>
      <c r="J11" s="22">
        <v>307.1</v>
      </c>
      <c r="K11" s="22">
        <f>E11+G11</f>
        <v>279.7</v>
      </c>
      <c r="L11" s="22">
        <f>AVERAGE(K8:K11)</f>
        <v>395.425</v>
      </c>
      <c r="M11" s="22">
        <f>-(H11+I11)+M10</f>
        <v>-531.3</v>
      </c>
    </row>
    <row r="12" ht="20.05" customHeight="1">
      <c r="B12" s="30">
        <v>2014</v>
      </c>
      <c r="C12" s="21">
        <f>1035.1+90.1+2.2</f>
        <v>1127.4</v>
      </c>
      <c r="D12" s="22">
        <v>0</v>
      </c>
      <c r="E12" s="22">
        <v>559.4</v>
      </c>
      <c r="F12" s="22">
        <f>-0.01-495.2-88.3-36</f>
        <v>-619.51</v>
      </c>
      <c r="G12" s="22">
        <v>-202.3</v>
      </c>
      <c r="H12" s="22">
        <f>J12-I12-D12</f>
        <v>-1</v>
      </c>
      <c r="I12" s="22">
        <f>37.5-44</f>
        <v>-6.5</v>
      </c>
      <c r="J12" s="22">
        <v>-7.5</v>
      </c>
      <c r="K12" s="22">
        <f>E12+G12</f>
        <v>357.1</v>
      </c>
      <c r="L12" s="22">
        <f>AVERAGE(K9:K12)</f>
        <v>360.825</v>
      </c>
      <c r="M12" s="22">
        <f>-(H12+I12)+M11</f>
        <v>-523.8</v>
      </c>
    </row>
    <row r="13" ht="20.05" customHeight="1">
      <c r="B13" s="30">
        <v>2015</v>
      </c>
      <c r="C13" s="21">
        <f>1058.2+120.3+59.6</f>
        <v>1238.1</v>
      </c>
      <c r="D13" s="22">
        <v>0</v>
      </c>
      <c r="E13" s="22">
        <v>716.3</v>
      </c>
      <c r="F13" s="22">
        <f>-626.4-15.7-298.5-314</f>
        <v>-1254.6</v>
      </c>
      <c r="G13" s="22">
        <v>-883.6</v>
      </c>
      <c r="H13" s="22">
        <f>J13-I13-D13</f>
        <v>-78.7</v>
      </c>
      <c r="I13" s="22">
        <v>9.5</v>
      </c>
      <c r="J13" s="22">
        <v>-69.2</v>
      </c>
      <c r="K13" s="22">
        <f>E13+G13</f>
        <v>-167.3</v>
      </c>
      <c r="L13" s="22">
        <f>AVERAGE(K10:K13)</f>
        <v>231.675</v>
      </c>
      <c r="M13" s="22">
        <f>-(H13+I13)+M12</f>
        <v>-454.6</v>
      </c>
    </row>
    <row r="14" ht="20.05" customHeight="1">
      <c r="B14" s="30">
        <v>2016</v>
      </c>
      <c r="C14" s="21">
        <f>1246.5+220+63.4</f>
        <v>1529.9</v>
      </c>
      <c r="D14" s="22">
        <v>0</v>
      </c>
      <c r="E14" s="22">
        <v>971.9</v>
      </c>
      <c r="F14" s="22">
        <f>-670.5-1191.9-17.1-29</f>
        <v>-1908.5</v>
      </c>
      <c r="G14" s="22">
        <v>-2024.8</v>
      </c>
      <c r="H14" s="22">
        <f>J14-I14-D14</f>
        <v>957.1</v>
      </c>
      <c r="I14" s="22">
        <f>0</f>
        <v>0</v>
      </c>
      <c r="J14" s="22">
        <v>957.1</v>
      </c>
      <c r="K14" s="22">
        <f>E14+G14</f>
        <v>-1052.9</v>
      </c>
      <c r="L14" s="22">
        <f>AVERAGE(K11:K14)</f>
        <v>-145.85</v>
      </c>
      <c r="M14" s="22">
        <f>-(H14+I14)+M13</f>
        <v>-1411.7</v>
      </c>
    </row>
    <row r="15" ht="20.05" customHeight="1">
      <c r="B15" s="30">
        <v>2017</v>
      </c>
      <c r="C15" s="21">
        <f>1230.2+1572.4+32.9</f>
        <v>2835.5</v>
      </c>
      <c r="D15" s="22">
        <v>0</v>
      </c>
      <c r="E15" s="22">
        <v>799.4</v>
      </c>
      <c r="F15" s="22">
        <f>-1301.8-47.1-6.8-223.4</f>
        <v>-1579.1</v>
      </c>
      <c r="G15" s="22">
        <v>-1345.7</v>
      </c>
      <c r="H15" s="22">
        <f>J15-I15-D15</f>
        <v>1431.6</v>
      </c>
      <c r="I15" s="22">
        <f>38.6-39.8+251.2</f>
        <v>250</v>
      </c>
      <c r="J15" s="22">
        <v>1681.6</v>
      </c>
      <c r="K15" s="22">
        <f>E15+G15</f>
        <v>-546.3</v>
      </c>
      <c r="L15" s="22">
        <f>AVERAGE(K12:K15)</f>
        <v>-352.35</v>
      </c>
      <c r="M15" s="22">
        <f>-(H15+I15)+M14</f>
        <v>-3093.3</v>
      </c>
    </row>
    <row r="16" ht="20.05" customHeight="1">
      <c r="B16" s="30">
        <v>2018</v>
      </c>
      <c r="C16" s="21">
        <v>543.3</v>
      </c>
      <c r="D16" s="22">
        <v>0</v>
      </c>
      <c r="E16" s="22">
        <v>127.1</v>
      </c>
      <c r="F16" s="22">
        <v>-2.5</v>
      </c>
      <c r="G16" s="22">
        <v>-219.9</v>
      </c>
      <c r="H16" s="22">
        <f>J16-I16-D16</f>
        <v>350</v>
      </c>
      <c r="I16" s="22">
        <v>0</v>
      </c>
      <c r="J16" s="22">
        <v>350</v>
      </c>
      <c r="K16" s="22">
        <f>E16+G16</f>
        <v>-92.8</v>
      </c>
      <c r="L16" s="22">
        <f>AVERAGE(K13:K16)</f>
        <v>-464.825</v>
      </c>
      <c r="M16" s="22">
        <f>-(H16+I16)+M15</f>
        <v>-3443.3</v>
      </c>
    </row>
    <row r="17" ht="20.05" customHeight="1">
      <c r="B17" s="32"/>
      <c r="C17" s="21">
        <v>854.9</v>
      </c>
      <c r="D17" s="22">
        <v>0</v>
      </c>
      <c r="E17" s="22">
        <v>243.6</v>
      </c>
      <c r="F17" s="22">
        <v>-14.9</v>
      </c>
      <c r="G17" s="22">
        <v>-536.7</v>
      </c>
      <c r="H17" s="22">
        <f>J17-I17-D17</f>
        <v>252.9</v>
      </c>
      <c r="I17" s="22">
        <v>0</v>
      </c>
      <c r="J17" s="22">
        <v>252.9</v>
      </c>
      <c r="K17" s="22">
        <f>E17+G17</f>
        <v>-293.1</v>
      </c>
      <c r="L17" s="22">
        <f>AVERAGE(K14:K17)</f>
        <v>-496.275</v>
      </c>
      <c r="M17" s="22">
        <f>-(H17+I17)+M16</f>
        <v>-3696.2</v>
      </c>
    </row>
    <row r="18" ht="20.05" customHeight="1">
      <c r="B18" s="32"/>
      <c r="C18" s="21">
        <v>221.8</v>
      </c>
      <c r="D18" s="22">
        <v>0</v>
      </c>
      <c r="E18" s="22">
        <v>3.8</v>
      </c>
      <c r="F18" s="22">
        <v>-5.1</v>
      </c>
      <c r="G18" s="22">
        <v>-303.4</v>
      </c>
      <c r="H18" s="22">
        <f>J18-I18-D18</f>
        <v>266.1</v>
      </c>
      <c r="I18" s="22">
        <v>0</v>
      </c>
      <c r="J18" s="22">
        <v>266.1</v>
      </c>
      <c r="K18" s="22">
        <f>E18+G18</f>
        <v>-299.6</v>
      </c>
      <c r="L18" s="22">
        <f>AVERAGE(K15:K18)</f>
        <v>-307.95</v>
      </c>
      <c r="M18" s="22">
        <f>-(H18+I18)+M17</f>
        <v>-3962.3</v>
      </c>
    </row>
    <row r="19" ht="20.05" customHeight="1">
      <c r="B19" s="32"/>
      <c r="C19" s="21">
        <v>990.5</v>
      </c>
      <c r="D19" s="22">
        <v>0</v>
      </c>
      <c r="E19" s="22">
        <v>275.5</v>
      </c>
      <c r="F19" s="22">
        <v>-160.2</v>
      </c>
      <c r="G19" s="22">
        <v>-692.1</v>
      </c>
      <c r="H19" s="22">
        <f>J19-I19-D19</f>
        <v>265.6</v>
      </c>
      <c r="I19" s="22">
        <v>609.3</v>
      </c>
      <c r="J19" s="22">
        <v>874.9</v>
      </c>
      <c r="K19" s="22">
        <f>E19+G19</f>
        <v>-416.6</v>
      </c>
      <c r="L19" s="22">
        <f>AVERAGE(K16:K19)</f>
        <v>-275.525</v>
      </c>
      <c r="M19" s="22">
        <f>-(H19+I19)+M18</f>
        <v>-4837.2</v>
      </c>
    </row>
    <row r="20" ht="20.05" customHeight="1">
      <c r="B20" s="30">
        <v>2019</v>
      </c>
      <c r="C20" s="21">
        <v>474.1</v>
      </c>
      <c r="D20" s="22">
        <v>0</v>
      </c>
      <c r="E20" s="22">
        <v>206.7</v>
      </c>
      <c r="F20" s="22">
        <v>-0.7</v>
      </c>
      <c r="G20" s="22">
        <v>-873.6</v>
      </c>
      <c r="H20" s="22">
        <f>J20-I20-D20</f>
        <v>235.1</v>
      </c>
      <c r="I20" s="22">
        <v>28</v>
      </c>
      <c r="J20" s="22">
        <v>263.1</v>
      </c>
      <c r="K20" s="22">
        <f>E20+G20</f>
        <v>-666.9</v>
      </c>
      <c r="L20" s="22">
        <f>AVERAGE(K17:K20)</f>
        <v>-419.05</v>
      </c>
      <c r="M20" s="22">
        <f>-(H20+I20)+M19</f>
        <v>-5100.3</v>
      </c>
    </row>
    <row r="21" ht="20.05" customHeight="1">
      <c r="B21" s="32"/>
      <c r="C21" s="21">
        <v>608.6</v>
      </c>
      <c r="D21" s="22">
        <v>0</v>
      </c>
      <c r="E21" s="22">
        <v>283.4</v>
      </c>
      <c r="F21" s="22">
        <v>-6.8</v>
      </c>
      <c r="G21" s="22">
        <v>-784</v>
      </c>
      <c r="H21" s="22">
        <f>J21-I21-D21</f>
        <v>324.4</v>
      </c>
      <c r="I21" s="22">
        <v>63.5</v>
      </c>
      <c r="J21" s="22">
        <v>387.9</v>
      </c>
      <c r="K21" s="22">
        <f>E21+G21</f>
        <v>-500.6</v>
      </c>
      <c r="L21" s="22">
        <f>AVERAGE(K18:K21)</f>
        <v>-470.925</v>
      </c>
      <c r="M21" s="22">
        <f>-(H21+I21)+M20</f>
        <v>-5488.2</v>
      </c>
    </row>
    <row r="22" ht="20.05" customHeight="1">
      <c r="B22" s="32"/>
      <c r="C22" s="21">
        <v>618</v>
      </c>
      <c r="D22" s="22">
        <v>0</v>
      </c>
      <c r="E22" s="22">
        <v>173.5</v>
      </c>
      <c r="F22" s="22">
        <v>-44.9</v>
      </c>
      <c r="G22" s="22">
        <v>-519.7</v>
      </c>
      <c r="H22" s="22">
        <f>J22-I22-D22</f>
        <v>479.5</v>
      </c>
      <c r="I22" s="22">
        <v>0</v>
      </c>
      <c r="J22" s="22">
        <v>479.5</v>
      </c>
      <c r="K22" s="22">
        <f>E22+G22</f>
        <v>-346.2</v>
      </c>
      <c r="L22" s="22">
        <f>AVERAGE(K19:K22)</f>
        <v>-482.575</v>
      </c>
      <c r="M22" s="22">
        <f>-(H22+I22)+M21</f>
        <v>-5967.7</v>
      </c>
    </row>
    <row r="23" ht="20.05" customHeight="1">
      <c r="B23" s="32"/>
      <c r="C23" s="21">
        <v>1786.3</v>
      </c>
      <c r="D23" s="22">
        <v>0</v>
      </c>
      <c r="E23" s="22">
        <v>-220.3</v>
      </c>
      <c r="F23" s="22">
        <v>-149.4</v>
      </c>
      <c r="G23" s="22">
        <v>-71.09999999999999</v>
      </c>
      <c r="H23" s="22">
        <f>J23-I23-D23</f>
        <v>-36.9</v>
      </c>
      <c r="I23" s="22">
        <v>167.2</v>
      </c>
      <c r="J23" s="22">
        <v>130.3</v>
      </c>
      <c r="K23" s="22">
        <f>E23+G23</f>
        <v>-291.4</v>
      </c>
      <c r="L23" s="22">
        <f>AVERAGE(K20:K23)</f>
        <v>-451.275</v>
      </c>
      <c r="M23" s="22">
        <f>-(H23+I23)+M22</f>
        <v>-6098</v>
      </c>
    </row>
    <row r="24" ht="20.05" customHeight="1">
      <c r="B24" s="30">
        <v>2020</v>
      </c>
      <c r="C24" s="21">
        <v>555.3</v>
      </c>
      <c r="D24" s="22">
        <v>0</v>
      </c>
      <c r="E24" s="22">
        <v>150.3</v>
      </c>
      <c r="F24" s="22">
        <v>-4.4</v>
      </c>
      <c r="G24" s="22">
        <v>249.7</v>
      </c>
      <c r="H24" s="22">
        <f>J24-I24-D24</f>
        <v>-351.1</v>
      </c>
      <c r="I24" s="22">
        <v>148.6</v>
      </c>
      <c r="J24" s="22">
        <v>-202.5</v>
      </c>
      <c r="K24" s="22">
        <f>E24+G24</f>
        <v>400</v>
      </c>
      <c r="L24" s="22">
        <f>AVERAGE(K21:K24)</f>
        <v>-184.55</v>
      </c>
      <c r="M24" s="22">
        <f>-(H24+I24)+M23</f>
        <v>-5895.5</v>
      </c>
    </row>
    <row r="25" ht="20.05" customHeight="1">
      <c r="B25" s="32"/>
      <c r="C25" s="21">
        <v>664.6</v>
      </c>
      <c r="D25" s="22">
        <v>0</v>
      </c>
      <c r="E25" s="22">
        <v>-29.7</v>
      </c>
      <c r="F25" s="22">
        <v>-783.5</v>
      </c>
      <c r="G25" s="22">
        <v>-280.4</v>
      </c>
      <c r="H25" s="22">
        <f>J25-I25-D25</f>
        <v>-68.09999999999999</v>
      </c>
      <c r="I25" s="22">
        <v>0</v>
      </c>
      <c r="J25" s="22">
        <v>-68.09999999999999</v>
      </c>
      <c r="K25" s="22">
        <f>E25+G25</f>
        <v>-310.1</v>
      </c>
      <c r="L25" s="22">
        <f>AVERAGE(K22:K25)</f>
        <v>-136.925</v>
      </c>
      <c r="M25" s="22">
        <f>-(H25+I25)+M24</f>
        <v>-5827.4</v>
      </c>
    </row>
    <row r="26" ht="20.05" customHeight="1">
      <c r="B26" s="32"/>
      <c r="C26" s="21">
        <v>60</v>
      </c>
      <c r="D26" s="22">
        <v>0</v>
      </c>
      <c r="E26" s="22">
        <v>-122.8</v>
      </c>
      <c r="F26" s="22">
        <v>-890.1</v>
      </c>
      <c r="G26" s="22">
        <v>246.9</v>
      </c>
      <c r="H26" s="22">
        <f>J26-I26-D26</f>
        <v>-72.3</v>
      </c>
      <c r="I26" s="22">
        <v>10</v>
      </c>
      <c r="J26" s="22">
        <v>-62.3</v>
      </c>
      <c r="K26" s="22">
        <f>E26+G26</f>
        <v>124.1</v>
      </c>
      <c r="L26" s="22">
        <f>AVERAGE(K23:K26)</f>
        <v>-19.35</v>
      </c>
      <c r="M26" s="22">
        <f>-(H26+I26)+M25</f>
        <v>-5765.1</v>
      </c>
    </row>
    <row r="27" ht="20.05" customHeight="1">
      <c r="B27" s="32"/>
      <c r="C27" s="21">
        <v>1328.4</v>
      </c>
      <c r="D27" s="22">
        <v>0</v>
      </c>
      <c r="E27" s="22">
        <v>330.7</v>
      </c>
      <c r="F27" s="22">
        <v>747.6</v>
      </c>
      <c r="G27" s="22">
        <v>-302.9</v>
      </c>
      <c r="H27" s="22">
        <f>J27-I27-D27</f>
        <v>-411.7</v>
      </c>
      <c r="I27" s="22">
        <v>1386.2</v>
      </c>
      <c r="J27" s="22">
        <v>974.5</v>
      </c>
      <c r="K27" s="22">
        <f>E27+G27</f>
        <v>27.8</v>
      </c>
      <c r="L27" s="22">
        <f>AVERAGE(K24:K27)</f>
        <v>60.45</v>
      </c>
      <c r="M27" s="22">
        <f>-(H27+I27)+M26</f>
        <v>-6739.6</v>
      </c>
    </row>
    <row r="28" ht="20.05" customHeight="1">
      <c r="B28" s="30">
        <v>2021</v>
      </c>
      <c r="C28" s="21">
        <v>330.1</v>
      </c>
      <c r="D28" s="22">
        <v>0</v>
      </c>
      <c r="E28" s="22">
        <v>192.3</v>
      </c>
      <c r="F28" s="22">
        <v>-13.1</v>
      </c>
      <c r="G28" s="22">
        <v>-82</v>
      </c>
      <c r="H28" s="22">
        <f>J28-I28-D28</f>
        <v>-623.4</v>
      </c>
      <c r="I28" s="22">
        <v>50</v>
      </c>
      <c r="J28" s="22">
        <v>-573.4</v>
      </c>
      <c r="K28" s="22">
        <f>E28+G28</f>
        <v>110.3</v>
      </c>
      <c r="L28" s="22">
        <f>AVERAGE(K25:K28)</f>
        <v>-11.975</v>
      </c>
      <c r="M28" s="22">
        <f>-(H28+I28)+M27</f>
        <v>-6166.2</v>
      </c>
    </row>
    <row r="29" ht="20.05" customHeight="1">
      <c r="B29" s="32"/>
      <c r="C29" s="21">
        <v>367.3</v>
      </c>
      <c r="D29" s="22">
        <v>0</v>
      </c>
      <c r="E29" s="22">
        <v>202.4</v>
      </c>
      <c r="F29" s="22">
        <v>-423.6</v>
      </c>
      <c r="G29" s="22">
        <v>220.4</v>
      </c>
      <c r="H29" s="22">
        <f>J29-I29-D29</f>
        <v>-1286.6</v>
      </c>
      <c r="I29" s="22">
        <v>103.4</v>
      </c>
      <c r="J29" s="22">
        <v>-1183.2</v>
      </c>
      <c r="K29" s="22">
        <f>E29+G29</f>
        <v>422.8</v>
      </c>
      <c r="L29" s="22">
        <f>AVERAGE(K26:K29)</f>
        <v>171.25</v>
      </c>
      <c r="M29" s="22">
        <f>-(H29+I29)+M28</f>
        <v>-4983</v>
      </c>
    </row>
    <row r="30" ht="20.05" customHeight="1">
      <c r="B30" s="32"/>
      <c r="C30" s="21">
        <v>573.7</v>
      </c>
      <c r="D30" s="22">
        <v>0</v>
      </c>
      <c r="E30" s="22">
        <v>159.1</v>
      </c>
      <c r="F30" s="22">
        <v>-351.2</v>
      </c>
      <c r="G30" s="22">
        <v>-333.9</v>
      </c>
      <c r="H30" s="22">
        <f>J30-I30-D30</f>
        <v>-1456</v>
      </c>
      <c r="I30" s="22">
        <v>0.5</v>
      </c>
      <c r="J30" s="22">
        <v>-1455.5</v>
      </c>
      <c r="K30" s="22">
        <f>E30+G30</f>
        <v>-174.8</v>
      </c>
      <c r="L30" s="22">
        <f>AVERAGE(K27:K30)</f>
        <v>96.52500000000001</v>
      </c>
      <c r="M30" s="22">
        <f>-(H30+I30)+M29</f>
        <v>-3527.5</v>
      </c>
    </row>
    <row r="31" ht="20.05" customHeight="1">
      <c r="B31" s="32"/>
      <c r="C31" s="21"/>
      <c r="D31" s="22"/>
      <c r="E31" s="22"/>
      <c r="F31" s="22"/>
      <c r="G31" s="22"/>
      <c r="H31" s="22">
        <f>J31-I31</f>
        <v>0</v>
      </c>
      <c r="I31" s="22"/>
      <c r="J31" s="22"/>
      <c r="K31" s="22"/>
      <c r="L31" s="22">
        <f>SUM('Model'!F9:F10)</f>
        <v>219.798700941930</v>
      </c>
      <c r="M31" s="22">
        <f>'Model'!F32</f>
        <v>-2780.619217889230</v>
      </c>
    </row>
    <row r="32" ht="20.05" customHeight="1">
      <c r="B32" s="30">
        <v>2022</v>
      </c>
      <c r="C32" s="21"/>
      <c r="D32" s="22"/>
      <c r="E32" s="22"/>
      <c r="F32" s="22"/>
      <c r="G32" s="22"/>
      <c r="H32" s="22"/>
      <c r="I32" s="22"/>
      <c r="J32" s="22"/>
      <c r="K32" s="22"/>
      <c r="L32" s="22"/>
      <c r="M32" s="22"/>
    </row>
    <row r="33" ht="20.05" customHeight="1">
      <c r="B33" s="32"/>
      <c r="C33" s="21"/>
      <c r="D33" s="22"/>
      <c r="E33" s="22"/>
      <c r="F33" s="22"/>
      <c r="G33" s="22"/>
      <c r="H33" s="22"/>
      <c r="I33" s="22"/>
      <c r="J33" s="22"/>
      <c r="K33" s="22"/>
      <c r="L33" s="22"/>
      <c r="M33" s="22"/>
    </row>
    <row r="34" ht="20.05" customHeight="1">
      <c r="B34" s="32"/>
      <c r="C34" s="21"/>
      <c r="D34" s="22"/>
      <c r="E34" s="22"/>
      <c r="F34" s="22"/>
      <c r="G34" s="22"/>
      <c r="H34" s="22"/>
      <c r="I34" s="22"/>
      <c r="J34" s="22"/>
      <c r="K34" s="22"/>
      <c r="L34" s="22"/>
      <c r="M34" s="22"/>
    </row>
  </sheetData>
  <mergeCells count="1">
    <mergeCell ref="B2:M2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28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4.82031" style="38" customWidth="1"/>
    <col min="2" max="2" width="10.3047" style="38" customWidth="1"/>
    <col min="3" max="11" width="10.7266" style="38" customWidth="1"/>
    <col min="12" max="16384" width="16.3516" style="38" customWidth="1"/>
  </cols>
  <sheetData>
    <row r="1" ht="27" customHeight="1"/>
    <row r="2" ht="27.65" customHeight="1">
      <c r="B2" t="s" s="2">
        <v>21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4">
        <v>42</v>
      </c>
      <c r="C3" t="s" s="4">
        <v>54</v>
      </c>
      <c r="D3" t="s" s="4">
        <v>55</v>
      </c>
      <c r="E3" t="s" s="4">
        <v>22</v>
      </c>
      <c r="F3" t="s" s="4">
        <v>19</v>
      </c>
      <c r="G3" t="s" s="4">
        <v>11</v>
      </c>
      <c r="H3" t="s" s="4">
        <v>56</v>
      </c>
      <c r="I3" t="s" s="4">
        <v>57</v>
      </c>
      <c r="J3" t="s" s="4">
        <v>58</v>
      </c>
      <c r="K3" t="s" s="4">
        <v>33</v>
      </c>
    </row>
    <row r="4" ht="20.25" customHeight="1">
      <c r="B4" s="25">
        <v>2006</v>
      </c>
      <c r="C4" s="36">
        <v>133</v>
      </c>
      <c r="D4" s="28">
        <v>1967</v>
      </c>
      <c r="E4" s="28">
        <f>D4-C4</f>
        <v>1834</v>
      </c>
      <c r="F4" s="28">
        <f>233</f>
        <v>233</v>
      </c>
      <c r="G4" s="28">
        <v>642</v>
      </c>
      <c r="H4" s="28">
        <f>42+1283</f>
        <v>1325</v>
      </c>
      <c r="I4" s="28">
        <f>G4+H4-C4-E4</f>
        <v>0</v>
      </c>
      <c r="J4" s="28">
        <f>C4-G4</f>
        <v>-509</v>
      </c>
      <c r="K4" s="28"/>
    </row>
    <row r="5" ht="20.05" customHeight="1">
      <c r="B5" s="30">
        <v>2007</v>
      </c>
      <c r="C5" s="21">
        <v>152</v>
      </c>
      <c r="D5" s="22">
        <v>2720</v>
      </c>
      <c r="E5" s="22">
        <f>D5-C5</f>
        <v>2568</v>
      </c>
      <c r="F5" s="22">
        <f>299</f>
        <v>299</v>
      </c>
      <c r="G5" s="22">
        <v>1295</v>
      </c>
      <c r="H5" s="22">
        <f>64+1361</f>
        <v>1425</v>
      </c>
      <c r="I5" s="22">
        <f>G5+H5-C5-E5</f>
        <v>0</v>
      </c>
      <c r="J5" s="22">
        <f>C5-G5</f>
        <v>-1143</v>
      </c>
      <c r="K5" s="22"/>
    </row>
    <row r="6" ht="20.05" customHeight="1">
      <c r="B6" s="30">
        <v>2008</v>
      </c>
      <c r="C6" s="21">
        <v>78</v>
      </c>
      <c r="D6" s="22">
        <v>2791</v>
      </c>
      <c r="E6" s="22">
        <f>D6-C6</f>
        <v>2713</v>
      </c>
      <c r="F6" s="22">
        <v>389</v>
      </c>
      <c r="G6" s="22">
        <f>1190+128</f>
        <v>1318</v>
      </c>
      <c r="H6" s="22">
        <f>57+1416</f>
        <v>1473</v>
      </c>
      <c r="I6" s="22">
        <f>G6+H6-C6-E6</f>
        <v>0</v>
      </c>
      <c r="J6" s="22">
        <f>C6-G6</f>
        <v>-1240</v>
      </c>
      <c r="K6" s="22"/>
    </row>
    <row r="7" ht="20.05" customHeight="1">
      <c r="B7" s="30">
        <v>2009</v>
      </c>
      <c r="C7" s="21">
        <v>97</v>
      </c>
      <c r="D7" s="22">
        <v>2794</v>
      </c>
      <c r="E7" s="22">
        <f>D7-C7</f>
        <v>2697</v>
      </c>
      <c r="F7" s="22">
        <v>504</v>
      </c>
      <c r="G7" s="22">
        <f>201+1059</f>
        <v>1260</v>
      </c>
      <c r="H7" s="22">
        <f>49+1485</f>
        <v>1534</v>
      </c>
      <c r="I7" s="22">
        <f>G7+H7-C7-E7</f>
        <v>0</v>
      </c>
      <c r="J7" s="22">
        <f>C7-G7</f>
        <v>-1163</v>
      </c>
      <c r="K7" s="22"/>
    </row>
    <row r="8" ht="20.05" customHeight="1">
      <c r="B8" s="30">
        <v>2010</v>
      </c>
      <c r="C8" s="21">
        <v>405</v>
      </c>
      <c r="D8" s="22">
        <v>2876</v>
      </c>
      <c r="E8" s="22">
        <f>D8-C8</f>
        <v>2471</v>
      </c>
      <c r="F8" s="22">
        <v>585</v>
      </c>
      <c r="G8" s="22">
        <v>1063</v>
      </c>
      <c r="H8" s="22">
        <f>45+1768</f>
        <v>1813</v>
      </c>
      <c r="I8" s="22">
        <f>G8+H8-C8-E8</f>
        <v>0</v>
      </c>
      <c r="J8" s="22">
        <f>C8-G8</f>
        <v>-658</v>
      </c>
      <c r="K8" s="22"/>
    </row>
    <row r="9" ht="20.05" customHeight="1">
      <c r="B9" s="30">
        <v>2011</v>
      </c>
      <c r="C9" s="21">
        <v>722</v>
      </c>
      <c r="D9" s="22">
        <v>3199</v>
      </c>
      <c r="E9" s="22">
        <f>D9-C9</f>
        <v>2477</v>
      </c>
      <c r="F9" s="22">
        <v>698</v>
      </c>
      <c r="G9" s="22">
        <v>1038</v>
      </c>
      <c r="H9" s="22">
        <v>2161</v>
      </c>
      <c r="I9" s="22">
        <f>G9+H9-C9-E9</f>
        <v>0</v>
      </c>
      <c r="J9" s="22">
        <f>C9-G9</f>
        <v>-316</v>
      </c>
      <c r="K9" s="22"/>
    </row>
    <row r="10" ht="20.05" customHeight="1">
      <c r="B10" s="30">
        <v>2012</v>
      </c>
      <c r="C10" s="21">
        <v>1103</v>
      </c>
      <c r="D10" s="22">
        <v>3759</v>
      </c>
      <c r="E10" s="22">
        <f>D10-C10</f>
        <v>2656</v>
      </c>
      <c r="F10" s="22">
        <f>767+45</f>
        <v>812</v>
      </c>
      <c r="G10" s="22">
        <v>1248</v>
      </c>
      <c r="H10" s="22">
        <v>2511</v>
      </c>
      <c r="I10" s="22">
        <f>G10+H10-C10-E10</f>
        <v>0</v>
      </c>
      <c r="J10" s="22">
        <f>C10-G10</f>
        <v>-145</v>
      </c>
      <c r="K10" s="22"/>
    </row>
    <row r="11" ht="20.05" customHeight="1">
      <c r="B11" s="30">
        <v>2013</v>
      </c>
      <c r="C11" s="21">
        <v>1681</v>
      </c>
      <c r="D11" s="22">
        <v>4783</v>
      </c>
      <c r="E11" s="22">
        <f>D11-C11</f>
        <v>3102</v>
      </c>
      <c r="F11" s="22">
        <f>875+42</f>
        <v>917</v>
      </c>
      <c r="G11" s="22">
        <v>1530</v>
      </c>
      <c r="H11" s="22">
        <v>3253</v>
      </c>
      <c r="I11" s="22">
        <f>G11+H11-C11-E11</f>
        <v>0</v>
      </c>
      <c r="J11" s="22">
        <f>C11-G11</f>
        <v>151</v>
      </c>
      <c r="K11" s="22"/>
    </row>
    <row r="12" ht="20.05" customHeight="1">
      <c r="B12" s="30">
        <v>2014</v>
      </c>
      <c r="C12" s="21">
        <v>2024</v>
      </c>
      <c r="D12" s="22">
        <v>5298</v>
      </c>
      <c r="E12" s="22">
        <f>D12-C12</f>
        <v>3274</v>
      </c>
      <c r="F12" s="22">
        <f>988+62</f>
        <v>1050</v>
      </c>
      <c r="G12" s="22">
        <v>1574</v>
      </c>
      <c r="H12" s="22">
        <v>3724</v>
      </c>
      <c r="I12" s="22">
        <f>G12+H12-C12-E12</f>
        <v>0</v>
      </c>
      <c r="J12" s="22">
        <f>C12-G12</f>
        <v>450</v>
      </c>
      <c r="K12" s="22"/>
    </row>
    <row r="13" ht="20.05" customHeight="1">
      <c r="B13" s="30">
        <v>2015</v>
      </c>
      <c r="C13" s="21">
        <v>1788</v>
      </c>
      <c r="D13" s="22">
        <v>6187</v>
      </c>
      <c r="E13" s="22">
        <f>D13-C13</f>
        <v>4399</v>
      </c>
      <c r="F13" s="22">
        <f>1096+79</f>
        <v>1175</v>
      </c>
      <c r="G13" s="22">
        <v>2015</v>
      </c>
      <c r="H13" s="22">
        <v>4172</v>
      </c>
      <c r="I13" s="22">
        <f>G13+H13-C13-E13</f>
        <v>0</v>
      </c>
      <c r="J13" s="22">
        <f>C13-G13</f>
        <v>-227</v>
      </c>
      <c r="K13" s="22"/>
    </row>
    <row r="14" ht="20.05" customHeight="1">
      <c r="B14" s="30">
        <v>2016</v>
      </c>
      <c r="C14" s="21">
        <v>1690</v>
      </c>
      <c r="D14" s="22">
        <v>7938</v>
      </c>
      <c r="E14" s="22">
        <f>D14-C14</f>
        <v>6248</v>
      </c>
      <c r="F14" s="22">
        <f>1209+103</f>
        <v>1312</v>
      </c>
      <c r="G14" s="22">
        <v>3255</v>
      </c>
      <c r="H14" s="22">
        <v>4683</v>
      </c>
      <c r="I14" s="22">
        <f>G14+H14-C14-E14</f>
        <v>0</v>
      </c>
      <c r="J14" s="22">
        <f>C14-G14</f>
        <v>-1565</v>
      </c>
      <c r="K14" s="22"/>
    </row>
    <row r="15" ht="20.05" customHeight="1">
      <c r="B15" s="30">
        <v>2017</v>
      </c>
      <c r="C15" s="21">
        <v>2829</v>
      </c>
      <c r="D15" s="22">
        <v>10737</v>
      </c>
      <c r="E15" s="22">
        <f>D15-C15</f>
        <v>7908</v>
      </c>
      <c r="F15" s="22">
        <f>1323+130</f>
        <v>1453</v>
      </c>
      <c r="G15" s="22">
        <v>5148</v>
      </c>
      <c r="H15" s="22">
        <v>5589</v>
      </c>
      <c r="I15" s="22">
        <f>G15+H15-C15-E15</f>
        <v>0</v>
      </c>
      <c r="J15" s="22">
        <f>C15-G15</f>
        <v>-2319</v>
      </c>
      <c r="K15" s="22"/>
    </row>
    <row r="16" ht="20.05" customHeight="1">
      <c r="B16" s="30">
        <v>2018</v>
      </c>
      <c r="C16" s="21">
        <v>2910</v>
      </c>
      <c r="D16" s="22">
        <v>15453</v>
      </c>
      <c r="E16" s="22">
        <f>D16-C16</f>
        <v>12543</v>
      </c>
      <c r="F16" s="22">
        <f>1480+157+5</f>
        <v>1642</v>
      </c>
      <c r="G16" s="22">
        <v>7537</v>
      </c>
      <c r="H16" s="22">
        <v>7916</v>
      </c>
      <c r="I16" s="22">
        <f>G16+H16-C16-E16</f>
        <v>0</v>
      </c>
      <c r="J16" s="22">
        <f>C16-G16</f>
        <v>-4627</v>
      </c>
      <c r="K16" s="22"/>
    </row>
    <row r="17" ht="20.05" customHeight="1">
      <c r="B17" s="30">
        <v>2019</v>
      </c>
      <c r="C17" s="21">
        <v>3064</v>
      </c>
      <c r="D17" s="22">
        <v>13813</v>
      </c>
      <c r="E17" s="22">
        <f>D17-C17</f>
        <v>10749</v>
      </c>
      <c r="F17" s="22">
        <f>1534+158+5</f>
        <v>1697</v>
      </c>
      <c r="G17" s="22">
        <v>6766</v>
      </c>
      <c r="H17" s="22">
        <v>7047</v>
      </c>
      <c r="I17" s="22">
        <f>G17+H17-C17-E17</f>
        <v>0</v>
      </c>
      <c r="J17" s="22">
        <f>C17-G17</f>
        <v>-3702</v>
      </c>
      <c r="K17" s="22"/>
    </row>
    <row r="18" ht="20.05" customHeight="1">
      <c r="B18" s="32"/>
      <c r="C18" s="21">
        <v>2949</v>
      </c>
      <c r="D18" s="22">
        <v>14324</v>
      </c>
      <c r="E18" s="22">
        <f>D18-C18</f>
        <v>11375</v>
      </c>
      <c r="F18" s="22">
        <f>6+164+1587</f>
        <v>1757</v>
      </c>
      <c r="G18" s="22">
        <v>7095</v>
      </c>
      <c r="H18" s="22">
        <v>7229</v>
      </c>
      <c r="I18" s="22">
        <f>G18+H18-C18-E18</f>
        <v>0</v>
      </c>
      <c r="J18" s="22">
        <f>C18-G18</f>
        <v>-4146</v>
      </c>
      <c r="K18" s="22"/>
    </row>
    <row r="19" ht="20.05" customHeight="1">
      <c r="B19" s="32"/>
      <c r="C19" s="21">
        <v>3083</v>
      </c>
      <c r="D19" s="22">
        <v>14787</v>
      </c>
      <c r="E19" s="22">
        <f>D19-C19</f>
        <v>11704</v>
      </c>
      <c r="F19" s="22">
        <f>6+174+1641</f>
        <v>1821</v>
      </c>
      <c r="G19" s="22">
        <v>7385</v>
      </c>
      <c r="H19" s="22">
        <v>7402</v>
      </c>
      <c r="I19" s="22">
        <f>G19+H19-C19-E19</f>
        <v>0</v>
      </c>
      <c r="J19" s="22">
        <f>C19-G19</f>
        <v>-4302</v>
      </c>
      <c r="K19" s="22"/>
    </row>
    <row r="20" ht="20.05" customHeight="1">
      <c r="B20" s="32"/>
      <c r="C20" s="21">
        <v>2910</v>
      </c>
      <c r="D20" s="22">
        <v>15453</v>
      </c>
      <c r="E20" s="22">
        <f>D20-C20</f>
        <v>12543</v>
      </c>
      <c r="F20" s="22">
        <f>1572+185+4</f>
        <v>1761</v>
      </c>
      <c r="G20" s="22">
        <v>7537</v>
      </c>
      <c r="H20" s="22">
        <v>7916</v>
      </c>
      <c r="I20" s="22">
        <f>G20+H20-C20-E20</f>
        <v>0</v>
      </c>
      <c r="J20" s="22">
        <f>C20-G20</f>
        <v>-4627</v>
      </c>
      <c r="K20" s="22"/>
    </row>
    <row r="21" ht="20.05" customHeight="1">
      <c r="B21" s="30">
        <v>2020</v>
      </c>
      <c r="C21" s="21">
        <v>3122</v>
      </c>
      <c r="D21" s="22">
        <v>15477</v>
      </c>
      <c r="E21" s="22">
        <f>D21-C21</f>
        <v>12355</v>
      </c>
      <c r="F21" s="22">
        <f>1595+192+4</f>
        <v>1791</v>
      </c>
      <c r="G21" s="22">
        <v>7247</v>
      </c>
      <c r="H21" s="22">
        <v>8230</v>
      </c>
      <c r="I21" s="22">
        <f>G21+H21-C21-E21</f>
        <v>0</v>
      </c>
      <c r="J21" s="22">
        <f>C21-G21</f>
        <v>-4125</v>
      </c>
      <c r="K21" s="22"/>
    </row>
    <row r="22" ht="20.05" customHeight="1">
      <c r="B22" s="32"/>
      <c r="C22" s="21">
        <v>2711</v>
      </c>
      <c r="D22" s="22">
        <v>15639</v>
      </c>
      <c r="E22" s="22">
        <f>D22-C22</f>
        <v>12928</v>
      </c>
      <c r="F22" s="22">
        <f>5+194+1603</f>
        <v>1802</v>
      </c>
      <c r="G22" s="22">
        <v>7341</v>
      </c>
      <c r="H22" s="22">
        <v>8298</v>
      </c>
      <c r="I22" s="22">
        <f>G22+H22-C22-E22</f>
        <v>0</v>
      </c>
      <c r="J22" s="22">
        <f>C22-G22</f>
        <v>-4630</v>
      </c>
      <c r="K22" s="22"/>
    </row>
    <row r="23" ht="20.05" customHeight="1">
      <c r="B23" s="32"/>
      <c r="C23" s="21">
        <v>2808</v>
      </c>
      <c r="D23" s="22">
        <v>15159</v>
      </c>
      <c r="E23" s="22">
        <f>D23-C23</f>
        <v>12351</v>
      </c>
      <c r="F23" s="22">
        <f>202+1624+5</f>
        <v>1831</v>
      </c>
      <c r="G23" s="22">
        <v>6766</v>
      </c>
      <c r="H23" s="22">
        <v>8393</v>
      </c>
      <c r="I23" s="22">
        <f>G23+H23-C23-E23</f>
        <v>0</v>
      </c>
      <c r="J23" s="22">
        <f>C23-G23</f>
        <v>-3958</v>
      </c>
      <c r="K23" s="22"/>
    </row>
    <row r="24" ht="20.05" customHeight="1">
      <c r="B24" s="32"/>
      <c r="C24" s="21">
        <v>3763</v>
      </c>
      <c r="D24" s="22">
        <v>16498</v>
      </c>
      <c r="E24" s="22">
        <f>D24-C24</f>
        <v>12735</v>
      </c>
      <c r="F24" s="22">
        <f>4+209+1644</f>
        <v>1857</v>
      </c>
      <c r="G24" s="22">
        <v>6689</v>
      </c>
      <c r="H24" s="22">
        <v>9809</v>
      </c>
      <c r="I24" s="22">
        <f>G24+H24-C24-E24</f>
        <v>0</v>
      </c>
      <c r="J24" s="22">
        <f>C24-G24</f>
        <v>-2926</v>
      </c>
      <c r="K24" s="22"/>
    </row>
    <row r="25" ht="20.05" customHeight="1">
      <c r="B25" s="30">
        <v>2021</v>
      </c>
      <c r="C25" s="21">
        <v>3321</v>
      </c>
      <c r="D25" s="22">
        <v>16246</v>
      </c>
      <c r="E25" s="22">
        <f>D25-C25</f>
        <v>12925</v>
      </c>
      <c r="F25" s="22">
        <f>217+1666+4</f>
        <v>1887</v>
      </c>
      <c r="G25" s="22">
        <v>6184</v>
      </c>
      <c r="H25" s="22">
        <v>10062</v>
      </c>
      <c r="I25" s="22">
        <f>G25+H25-C25-E25</f>
        <v>0</v>
      </c>
      <c r="J25" s="22">
        <f>C25-G25</f>
        <v>-2863</v>
      </c>
      <c r="K25" s="22"/>
    </row>
    <row r="26" ht="20.05" customHeight="1">
      <c r="B26" s="32"/>
      <c r="C26" s="21">
        <v>2554</v>
      </c>
      <c r="D26" s="22">
        <v>15323</v>
      </c>
      <c r="E26" s="22">
        <f>D26-C26</f>
        <v>12769</v>
      </c>
      <c r="F26" s="22">
        <f>5+224+1688</f>
        <v>1917</v>
      </c>
      <c r="G26" s="22">
        <v>5055</v>
      </c>
      <c r="H26" s="22">
        <v>10268</v>
      </c>
      <c r="I26" s="22">
        <f>G26+H26-C26-E26</f>
        <v>0</v>
      </c>
      <c r="J26" s="22">
        <f>C26-G26</f>
        <v>-2501</v>
      </c>
      <c r="K26" s="22"/>
    </row>
    <row r="27" ht="20.05" customHeight="1">
      <c r="B27" s="32"/>
      <c r="C27" s="21">
        <v>913</v>
      </c>
      <c r="D27" s="22">
        <v>14726</v>
      </c>
      <c r="E27" s="22">
        <f>D27-C27</f>
        <v>13813</v>
      </c>
      <c r="F27" s="22">
        <f>5+232+1706</f>
        <v>1943</v>
      </c>
      <c r="G27" s="22">
        <v>4282</v>
      </c>
      <c r="H27" s="22">
        <v>10444</v>
      </c>
      <c r="I27" s="22">
        <f>G27+H27-C27-E27</f>
        <v>0</v>
      </c>
      <c r="J27" s="22">
        <f>C27-G27</f>
        <v>-3369</v>
      </c>
      <c r="K27" s="22">
        <f>J27</f>
        <v>-3369</v>
      </c>
    </row>
    <row r="28" ht="20.05" customHeight="1">
      <c r="B28" s="32"/>
      <c r="C28" s="21"/>
      <c r="D28" s="22"/>
      <c r="E28" s="22"/>
      <c r="F28" s="22"/>
      <c r="G28" s="22"/>
      <c r="H28" s="22"/>
      <c r="I28" s="22"/>
      <c r="J28" s="22"/>
      <c r="K28" s="22">
        <f>'Model'!F30</f>
        <v>-2622.119217889230</v>
      </c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B3:D69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3.0703" style="39" customWidth="1"/>
    <col min="2" max="2" width="9.9375" style="39" customWidth="1"/>
    <col min="3" max="4" width="10.8281" style="39" customWidth="1"/>
    <col min="5" max="16384" width="16.3516" style="39" customWidth="1"/>
  </cols>
  <sheetData>
    <row r="1" ht="46.95" customHeight="1"/>
    <row r="2" ht="27.65" customHeight="1">
      <c r="B2" t="s" s="2">
        <v>59</v>
      </c>
      <c r="C2" s="2"/>
      <c r="D2" s="2"/>
    </row>
    <row r="3" ht="20.25" customHeight="1">
      <c r="B3" s="5"/>
      <c r="C3" t="s" s="40">
        <v>60</v>
      </c>
      <c r="D3" t="s" s="40">
        <v>61</v>
      </c>
    </row>
    <row r="4" ht="20.25" customHeight="1">
      <c r="B4" s="25">
        <v>2006</v>
      </c>
      <c r="C4" s="36">
        <v>510.39</v>
      </c>
      <c r="D4" s="28"/>
    </row>
    <row r="5" ht="20.05" customHeight="1">
      <c r="B5" s="32"/>
      <c r="C5" s="21">
        <v>368.96</v>
      </c>
      <c r="D5" s="22"/>
    </row>
    <row r="6" ht="20.05" customHeight="1">
      <c r="B6" s="32"/>
      <c r="C6" s="21">
        <v>525.88</v>
      </c>
      <c r="D6" s="22"/>
    </row>
    <row r="7" ht="20.05" customHeight="1">
      <c r="B7" s="32"/>
      <c r="C7" s="21">
        <v>1032.98</v>
      </c>
      <c r="D7" s="22"/>
    </row>
    <row r="8" ht="20.05" customHeight="1">
      <c r="B8" s="30">
        <v>2007</v>
      </c>
      <c r="C8" s="21">
        <v>1236.44</v>
      </c>
      <c r="D8" s="22"/>
    </row>
    <row r="9" ht="20.05" customHeight="1">
      <c r="B9" s="32"/>
      <c r="C9" s="21">
        <v>1612.07</v>
      </c>
      <c r="D9" s="22"/>
    </row>
    <row r="10" ht="20.05" customHeight="1">
      <c r="B10" s="32"/>
      <c r="C10" s="21">
        <v>1527.28</v>
      </c>
      <c r="D10" s="22"/>
    </row>
    <row r="11" ht="20.05" customHeight="1">
      <c r="B11" s="32"/>
      <c r="C11" s="21">
        <v>1385.57</v>
      </c>
      <c r="D11" s="22"/>
    </row>
    <row r="12" ht="20.05" customHeight="1">
      <c r="B12" s="30">
        <v>2008</v>
      </c>
      <c r="C12" s="21">
        <v>850.24</v>
      </c>
      <c r="D12" s="22"/>
    </row>
    <row r="13" ht="20.05" customHeight="1">
      <c r="B13" s="32"/>
      <c r="C13" s="21">
        <v>837.64</v>
      </c>
      <c r="D13" s="22"/>
    </row>
    <row r="14" ht="20.05" customHeight="1">
      <c r="B14" s="32"/>
      <c r="C14" s="21">
        <v>818.75</v>
      </c>
      <c r="D14" s="22"/>
    </row>
    <row r="15" ht="20.05" customHeight="1">
      <c r="B15" s="32"/>
      <c r="C15" s="21">
        <v>592.02</v>
      </c>
      <c r="D15" s="22"/>
    </row>
    <row r="16" ht="20.05" customHeight="1">
      <c r="B16" s="30">
        <v>2009</v>
      </c>
      <c r="C16" s="21">
        <v>533.8099999999999</v>
      </c>
      <c r="D16" s="22"/>
    </row>
    <row r="17" ht="20.05" customHeight="1">
      <c r="B17" s="32"/>
      <c r="C17" s="21">
        <v>597.36</v>
      </c>
      <c r="D17" s="22"/>
    </row>
    <row r="18" ht="20.05" customHeight="1">
      <c r="B18" s="32"/>
      <c r="C18" s="21">
        <v>610.0700000000001</v>
      </c>
      <c r="D18" s="22"/>
    </row>
    <row r="19" ht="20.05" customHeight="1">
      <c r="B19" s="32"/>
      <c r="C19" s="21">
        <v>584.65</v>
      </c>
      <c r="D19" s="22"/>
    </row>
    <row r="20" ht="20.05" customHeight="1">
      <c r="B20" s="30">
        <v>2010</v>
      </c>
      <c r="C20" s="21">
        <v>565.59</v>
      </c>
      <c r="D20" s="22"/>
    </row>
    <row r="21" ht="20.05" customHeight="1">
      <c r="B21" s="32"/>
      <c r="C21" s="21">
        <v>546.52</v>
      </c>
      <c r="D21" s="22"/>
    </row>
    <row r="22" ht="20.05" customHeight="1">
      <c r="B22" s="32"/>
      <c r="C22" s="21">
        <v>668.03</v>
      </c>
      <c r="D22" s="22"/>
    </row>
    <row r="23" ht="20.05" customHeight="1">
      <c r="B23" s="32"/>
      <c r="C23" s="21">
        <v>873.5700000000001</v>
      </c>
      <c r="D23" s="22"/>
    </row>
    <row r="24" ht="20.05" customHeight="1">
      <c r="B24" s="30">
        <v>2011</v>
      </c>
      <c r="C24" s="21">
        <v>751.53</v>
      </c>
      <c r="D24" s="22"/>
    </row>
    <row r="25" ht="20.05" customHeight="1">
      <c r="B25" s="32"/>
      <c r="C25" s="21">
        <v>725.84</v>
      </c>
      <c r="D25" s="22"/>
    </row>
    <row r="26" ht="20.05" customHeight="1">
      <c r="B26" s="32"/>
      <c r="C26" s="21">
        <v>975.53</v>
      </c>
      <c r="D26" s="22"/>
    </row>
    <row r="27" ht="20.05" customHeight="1">
      <c r="B27" s="32"/>
      <c r="C27" s="21">
        <v>1085.36</v>
      </c>
      <c r="D27" s="22"/>
    </row>
    <row r="28" ht="20.05" customHeight="1">
      <c r="B28" s="30">
        <v>2012</v>
      </c>
      <c r="C28" s="21">
        <v>1340.55</v>
      </c>
      <c r="D28" s="22"/>
    </row>
    <row r="29" ht="20.05" customHeight="1">
      <c r="B29" s="32"/>
      <c r="C29" s="21">
        <v>1259.79</v>
      </c>
      <c r="D29" s="22"/>
    </row>
    <row r="30" ht="20.05" customHeight="1">
      <c r="B30" s="32"/>
      <c r="C30" s="21">
        <v>1383.99</v>
      </c>
      <c r="D30" s="22"/>
    </row>
    <row r="31" ht="20.05" customHeight="1">
      <c r="B31" s="32"/>
      <c r="C31" s="21">
        <v>1094.17</v>
      </c>
      <c r="D31" s="22"/>
    </row>
    <row r="32" ht="20.05" customHeight="1">
      <c r="B32" s="30">
        <v>2013</v>
      </c>
      <c r="C32" s="21">
        <v>1191.86</v>
      </c>
      <c r="D32" s="22"/>
    </row>
    <row r="33" ht="20.05" customHeight="1">
      <c r="B33" s="32"/>
      <c r="C33" s="21">
        <v>2002.72</v>
      </c>
      <c r="D33" s="22"/>
    </row>
    <row r="34" ht="20.05" customHeight="1">
      <c r="B34" s="32"/>
      <c r="C34" s="21">
        <v>2084.13</v>
      </c>
      <c r="D34" s="22"/>
    </row>
    <row r="35" ht="20.05" customHeight="1">
      <c r="B35" s="32"/>
      <c r="C35" s="21">
        <v>2181.83</v>
      </c>
      <c r="D35" s="22"/>
    </row>
    <row r="36" ht="20.05" customHeight="1">
      <c r="B36" s="30">
        <v>2014</v>
      </c>
      <c r="C36" s="21">
        <v>2204.62</v>
      </c>
      <c r="D36" s="22"/>
    </row>
    <row r="37" ht="20.05" customHeight="1">
      <c r="B37" s="32"/>
      <c r="C37" s="21">
        <v>2250.21</v>
      </c>
      <c r="D37" s="22"/>
    </row>
    <row r="38" ht="20.05" customHeight="1">
      <c r="B38" s="32"/>
      <c r="C38" s="21">
        <v>2042.18</v>
      </c>
      <c r="D38" s="22"/>
    </row>
    <row r="39" ht="20.05" customHeight="1">
      <c r="B39" s="32"/>
      <c r="C39" s="21">
        <v>1937.45</v>
      </c>
      <c r="D39" s="22"/>
    </row>
    <row r="40" ht="20.05" customHeight="1">
      <c r="B40" s="30">
        <v>2015</v>
      </c>
      <c r="C40" s="21">
        <v>2045.45</v>
      </c>
      <c r="D40" s="22"/>
    </row>
    <row r="41" ht="20.05" customHeight="1">
      <c r="B41" s="32"/>
      <c r="C41" s="21">
        <v>1812.27</v>
      </c>
      <c r="D41" s="22"/>
    </row>
    <row r="42" ht="20.05" customHeight="1">
      <c r="B42" s="32"/>
      <c r="C42" s="21">
        <v>1227.27</v>
      </c>
      <c r="D42" s="22"/>
    </row>
    <row r="43" ht="20.05" customHeight="1">
      <c r="B43" s="32"/>
      <c r="C43" s="21">
        <v>1992.27</v>
      </c>
      <c r="D43" s="22"/>
    </row>
    <row r="44" ht="20.05" customHeight="1">
      <c r="B44" s="30">
        <v>2016</v>
      </c>
      <c r="C44" s="21">
        <v>1493.18</v>
      </c>
      <c r="D44" s="22"/>
    </row>
    <row r="45" ht="20.05" customHeight="1">
      <c r="B45" s="32"/>
      <c r="C45" s="21">
        <v>1403.18</v>
      </c>
      <c r="D45" s="22"/>
    </row>
    <row r="46" ht="20.05" customHeight="1">
      <c r="B46" s="32"/>
      <c r="C46" s="21">
        <v>1231.36</v>
      </c>
      <c r="D46" s="22"/>
    </row>
    <row r="47" ht="20.05" customHeight="1">
      <c r="B47" s="32"/>
      <c r="C47" s="21">
        <v>1464.55</v>
      </c>
      <c r="D47" s="22"/>
    </row>
    <row r="48" ht="20.05" customHeight="1">
      <c r="B48" s="30">
        <v>2017</v>
      </c>
      <c r="C48" s="21">
        <v>1440</v>
      </c>
      <c r="D48" s="22"/>
    </row>
    <row r="49" ht="20.05" customHeight="1">
      <c r="B49" s="32"/>
      <c r="C49" s="21">
        <v>1370</v>
      </c>
      <c r="D49" s="22"/>
    </row>
    <row r="50" ht="20.05" customHeight="1">
      <c r="B50" s="32"/>
      <c r="C50" s="21">
        <v>1340</v>
      </c>
      <c r="D50" s="22"/>
    </row>
    <row r="51" ht="20.05" customHeight="1">
      <c r="B51" s="32"/>
      <c r="C51" s="21">
        <v>1540</v>
      </c>
      <c r="D51" s="22"/>
    </row>
    <row r="52" ht="20.05" customHeight="1">
      <c r="B52" s="30">
        <v>2018</v>
      </c>
      <c r="C52" s="21">
        <v>1450</v>
      </c>
      <c r="D52" s="22"/>
    </row>
    <row r="53" ht="20.05" customHeight="1">
      <c r="B53" s="32"/>
      <c r="C53" s="21">
        <v>1370</v>
      </c>
      <c r="D53" s="22"/>
    </row>
    <row r="54" ht="20.05" customHeight="1">
      <c r="B54" s="32"/>
      <c r="C54" s="21">
        <v>1310</v>
      </c>
      <c r="D54" s="22"/>
    </row>
    <row r="55" ht="20.05" customHeight="1">
      <c r="B55" s="32"/>
      <c r="C55" s="21">
        <v>1280</v>
      </c>
      <c r="D55" s="22"/>
    </row>
    <row r="56" ht="20.05" customHeight="1">
      <c r="B56" s="30">
        <v>2019</v>
      </c>
      <c r="C56" s="21">
        <v>1240</v>
      </c>
      <c r="D56" s="22"/>
    </row>
    <row r="57" ht="20.05" customHeight="1">
      <c r="B57" s="32"/>
      <c r="C57" s="21">
        <v>1260</v>
      </c>
      <c r="D57" s="22"/>
    </row>
    <row r="58" ht="20.05" customHeight="1">
      <c r="B58" s="32"/>
      <c r="C58" s="21">
        <v>2030</v>
      </c>
      <c r="D58" s="22"/>
    </row>
    <row r="59" ht="20.05" customHeight="1">
      <c r="B59" s="32"/>
      <c r="C59" s="21">
        <v>1855</v>
      </c>
      <c r="D59" s="22"/>
    </row>
    <row r="60" ht="20.05" customHeight="1">
      <c r="B60" s="30">
        <v>2020</v>
      </c>
      <c r="C60" s="21">
        <v>1431.7</v>
      </c>
      <c r="D60" s="22"/>
    </row>
    <row r="61" ht="20.05" customHeight="1">
      <c r="B61" s="32"/>
      <c r="C61" s="21">
        <v>1333.27</v>
      </c>
      <c r="D61" s="22"/>
    </row>
    <row r="62" ht="20.05" customHeight="1">
      <c r="B62" s="32"/>
      <c r="C62" s="21">
        <v>984.3</v>
      </c>
      <c r="D62" s="22"/>
    </row>
    <row r="63" ht="20.05" customHeight="1">
      <c r="B63" s="32"/>
      <c r="C63" s="21">
        <v>1540</v>
      </c>
      <c r="D63" s="22"/>
    </row>
    <row r="64" ht="20.05" customHeight="1">
      <c r="B64" s="30">
        <v>2021</v>
      </c>
      <c r="C64" s="21">
        <v>2010</v>
      </c>
      <c r="D64" s="22"/>
    </row>
    <row r="65" ht="20.05" customHeight="1">
      <c r="B65" s="32"/>
      <c r="C65" s="21">
        <v>1700</v>
      </c>
      <c r="D65" s="22"/>
    </row>
    <row r="66" ht="20.05" customHeight="1">
      <c r="B66" s="32"/>
      <c r="C66" s="21">
        <v>1240</v>
      </c>
      <c r="D66" s="22"/>
    </row>
    <row r="67" ht="20.05" customHeight="1">
      <c r="B67" s="32"/>
      <c r="C67" s="21">
        <v>2000</v>
      </c>
      <c r="D67" s="22"/>
    </row>
    <row r="68" ht="20.05" customHeight="1">
      <c r="B68" s="30">
        <v>2022</v>
      </c>
      <c r="C68" s="21">
        <v>1625</v>
      </c>
      <c r="D68" s="22">
        <f>C68</f>
        <v>1625</v>
      </c>
    </row>
    <row r="69" ht="20.05" customHeight="1">
      <c r="B69" s="32"/>
      <c r="C69" s="21"/>
      <c r="D69" s="22">
        <f>'Model'!F42</f>
        <v>2104.588127999220</v>
      </c>
    </row>
  </sheetData>
  <mergeCells count="1">
    <mergeCell ref="B2:D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