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Capital" sheetId="2" r:id="rId5"/>
  </sheets>
</workbook>
</file>

<file path=xl/sharedStrings.xml><?xml version="1.0" encoding="utf-8"?>
<sst xmlns="http://schemas.openxmlformats.org/spreadsheetml/2006/main" uniqueCount="44">
  <si>
    <t>Model</t>
  </si>
  <si>
    <t>Rpbn</t>
  </si>
  <si>
    <t xml:space="preserve">Average growth </t>
  </si>
  <si>
    <t xml:space="preserve">Cashflow </t>
  </si>
  <si>
    <t xml:space="preserve">Receipts </t>
  </si>
  <si>
    <t xml:space="preserve">Cash costs </t>
  </si>
  <si>
    <t xml:space="preserve">Working capital </t>
  </si>
  <si>
    <t xml:space="preserve">Operating </t>
  </si>
  <si>
    <t xml:space="preserve">Investment </t>
  </si>
  <si>
    <t>Leases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</si>
  <si>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</si>
  <si>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</si>
  <si>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</si>
  <si>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</si>
  <si>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</si>
  <si>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>FX</t>
  </si>
  <si>
    <t xml:space="preserve">Change </t>
  </si>
  <si>
    <t xml:space="preserve">Ending </t>
  </si>
  <si>
    <t xml:space="preserve">Profit </t>
  </si>
  <si>
    <t xml:space="preserve">Sales </t>
  </si>
  <si>
    <t xml:space="preserve">Forecasts </t>
  </si>
  <si>
    <t xml:space="preserve">Depreciation </t>
  </si>
  <si>
    <t xml:space="preserve">Other non cash costs </t>
  </si>
  <si>
    <t xml:space="preserve">Balance sheet </t>
  </si>
  <si>
    <t xml:space="preserve">Assets </t>
  </si>
  <si>
    <t>Gross other assets</t>
  </si>
  <si>
    <t xml:space="preserve">Net other assets </t>
  </si>
  <si>
    <t xml:space="preserve">Check </t>
  </si>
  <si>
    <t xml:space="preserve">Valuation </t>
  </si>
  <si>
    <t xml:space="preserve">Net cash </t>
  </si>
  <si>
    <t>CMPP</t>
  </si>
  <si>
    <t xml:space="preserve">Target </t>
  </si>
  <si>
    <t xml:space="preserve">Capital 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</si>
  <si>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</si>
  <si>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</si>
  <si>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</si>
  <si>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</si>
  <si>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</si>
  <si>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Shares </t>
  </si>
  <si>
    <t xml:space="preserve">Current </t>
  </si>
  <si>
    <t xml:space="preserve">Upside </t>
  </si>
  <si>
    <t xml:space="preserve">12 month growth </t>
  </si>
  <si>
    <t>Capital</t>
  </si>
  <si>
    <t>Total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</si>
</sst>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3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3" borderId="5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9</xdr:col>
      <xdr:colOff>897319</xdr:colOff>
      <xdr:row>2</xdr:row>
      <xdr:rowOff>210274</xdr:rowOff>
    </xdr:from>
    <xdr:to>
      <xdr:col>17</xdr:col>
      <xdr:colOff>609365</xdr:colOff>
      <xdr:row>51</xdr:row>
      <xdr:rowOff>167214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9558719" y="1498689"/>
          <a:ext cx="9668847" cy="1243913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I5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84375" style="1" customWidth="1"/>
    <col min="2" max="2" width="19.9219" style="1" customWidth="1"/>
    <col min="3" max="9" width="12.8125" style="1" customWidth="1"/>
    <col min="10" max="16384" width="16.3516" style="1" customWidth="1"/>
  </cols>
  <sheetData>
    <row r="1" ht="73.8" customHeight="1"/>
    <row r="2" ht="27.65" customHeight="1">
      <c r="B2" t="s" s="2">
        <v>0</v>
      </c>
      <c r="C2" s="2"/>
      <c r="D2" s="2"/>
      <c r="E2" s="2"/>
      <c r="F2" s="2"/>
      <c r="G2" s="2"/>
      <c r="H2" s="2"/>
      <c r="I2" s="2"/>
    </row>
    <row r="3" ht="20.25" customHeight="1">
      <c r="B3" t="s" s="3">
        <v>1</v>
      </c>
      <c r="C3" s="4">
        <v>2021</v>
      </c>
      <c r="D3" s="5"/>
      <c r="E3" s="5"/>
      <c r="F3" s="5"/>
      <c r="G3" s="4">
        <v>2022</v>
      </c>
      <c r="H3" s="5"/>
      <c r="I3" s="5"/>
    </row>
    <row r="4" ht="20.25" customHeight="1">
      <c r="B4" t="s" s="6">
        <v>2</v>
      </c>
      <c r="C4" s="7"/>
      <c r="D4" s="8"/>
      <c r="E4" s="9">
        <f>AVERAGE(B5:E5)</f>
        <v>-0.412583963765133</v>
      </c>
      <c r="F4" s="9"/>
      <c r="G4" s="9"/>
      <c r="H4" s="9"/>
      <c r="I4" s="9">
        <f>AVERAGE(F5:I5)</f>
        <v>1.4375</v>
      </c>
    </row>
    <row r="5" ht="20.05" customHeight="1">
      <c r="B5" t="s" s="10">
        <v>3</v>
      </c>
      <c r="C5" s="11"/>
      <c r="D5" s="12">
        <f>D21/C21-1</f>
        <v>0.026766317709218</v>
      </c>
      <c r="E5" s="12">
        <f>E21/D21-1</f>
        <v>-0.851934245239484</v>
      </c>
      <c r="F5" s="13">
        <v>5</v>
      </c>
      <c r="G5" s="13">
        <v>0.25</v>
      </c>
      <c r="H5" s="13">
        <v>0.25</v>
      </c>
      <c r="I5" s="13">
        <v>0.25</v>
      </c>
    </row>
    <row r="6" ht="20.05" customHeight="1">
      <c r="B6" t="s" s="10">
        <v>4</v>
      </c>
      <c r="C6" s="14">
        <v>197.734</v>
      </c>
      <c r="D6" s="15">
        <f>403.578-C6</f>
        <v>205.844</v>
      </c>
      <c r="E6" s="15">
        <f>457.727-D6-C6</f>
        <v>54.149</v>
      </c>
      <c r="F6" s="15">
        <f>E21*(1+F5)</f>
        <v>204.066</v>
      </c>
      <c r="G6" s="15">
        <f>F22*(1+G5)</f>
        <v>255.0825</v>
      </c>
      <c r="H6" s="15">
        <f>G22*(1+H5)</f>
        <v>318.853125</v>
      </c>
      <c r="I6" s="15">
        <f>H22*(1+I5)</f>
        <v>398.56640625</v>
      </c>
    </row>
    <row r="7" ht="20.05" customHeight="1">
      <c r="B7" t="s" s="10">
        <v>5</v>
      </c>
      <c r="C7" s="14">
        <f>C9-C6</f>
        <v>-185.966</v>
      </c>
      <c r="D7" s="15">
        <f>D9-D6</f>
        <v>-206.521</v>
      </c>
      <c r="E7" s="15">
        <f>E9-E6</f>
        <v>-43.241</v>
      </c>
      <c r="F7" s="15">
        <f>E25</f>
        <v>-266.77</v>
      </c>
      <c r="G7" s="15">
        <f>F25</f>
        <v>-266.77</v>
      </c>
      <c r="H7" s="15">
        <f>G25</f>
        <v>-266.77</v>
      </c>
      <c r="I7" s="15">
        <f>H25</f>
        <v>-266.77</v>
      </c>
    </row>
    <row r="8" ht="20.05" customHeight="1">
      <c r="B8" t="s" s="10">
        <v>6</v>
      </c>
      <c r="C8" s="14">
        <f>(C6-C21)+(C7-C25)</f>
        <v>478.589</v>
      </c>
      <c r="D8" s="15">
        <f>(D6-D21)+(D7-D25)</f>
        <v>166.872</v>
      </c>
      <c r="E8" s="15">
        <f>(E6-E21)+(E7-E25)</f>
        <v>243.667</v>
      </c>
      <c r="F8" s="15">
        <v>0</v>
      </c>
      <c r="G8" s="15">
        <v>0</v>
      </c>
      <c r="H8" s="15"/>
      <c r="I8" s="15"/>
    </row>
    <row r="9" ht="20.05" customHeight="1">
      <c r="B9" t="s" s="10">
        <v>7</v>
      </c>
      <c r="C9" s="14">
        <v>11.768</v>
      </c>
      <c r="D9" s="15">
        <f>11.091-C9</f>
        <v>-0.677</v>
      </c>
      <c r="E9" s="15">
        <f>21.999-D9-C9</f>
        <v>10.908</v>
      </c>
      <c r="F9" s="15">
        <f>F6+F7+F8</f>
        <v>-62.704</v>
      </c>
      <c r="G9" s="15">
        <f>G6+G7+G8</f>
        <v>-11.6875</v>
      </c>
      <c r="H9" s="15">
        <f>H6+H7+H8</f>
        <v>52.083125</v>
      </c>
      <c r="I9" s="15">
        <f>I6+I7+I8</f>
        <v>131.79640625</v>
      </c>
    </row>
    <row r="10" ht="20.05" customHeight="1">
      <c r="B10" t="s" s="10">
        <v>8</v>
      </c>
      <c r="C10" s="14">
        <v>-4.083</v>
      </c>
      <c r="D10" s="15">
        <f>-5.703-C10</f>
        <v>-1.62</v>
      </c>
      <c r="E10" s="15">
        <f>-6.078-D10-C10</f>
        <v>-0.375</v>
      </c>
      <c r="F10" s="15">
        <f>E10</f>
        <v>-0.375</v>
      </c>
      <c r="G10" s="15">
        <f>F10</f>
        <v>-0.375</v>
      </c>
      <c r="H10" s="15">
        <f>G10</f>
        <v>-0.375</v>
      </c>
      <c r="I10" s="15">
        <f>H10</f>
        <v>-0.375</v>
      </c>
    </row>
    <row r="11" ht="20.05" customHeight="1">
      <c r="B11" t="s" s="10">
        <v>9</v>
      </c>
      <c r="C11" s="14">
        <v>-4.896</v>
      </c>
      <c r="D11" s="15">
        <f>-8.404-C11</f>
        <v>-3.508</v>
      </c>
      <c r="E11" s="15">
        <f>-8.295-D11-C11</f>
        <v>0.109</v>
      </c>
      <c r="F11" s="15">
        <f>E11</f>
        <v>0.109</v>
      </c>
      <c r="G11" s="15">
        <f>F11</f>
        <v>0.109</v>
      </c>
      <c r="H11" s="15">
        <f>G11</f>
        <v>0.109</v>
      </c>
      <c r="I11" s="15">
        <f>H11</f>
        <v>0.109</v>
      </c>
    </row>
    <row r="12" ht="20.05" customHeight="1">
      <c r="B12" t="s" s="10">
        <v>10</v>
      </c>
      <c r="C12" s="14">
        <v>0</v>
      </c>
      <c r="D12" s="15">
        <v>0</v>
      </c>
      <c r="E12" s="15">
        <v>0</v>
      </c>
      <c r="F12" s="15">
        <f>-E32/20</f>
        <v>-493.1964</v>
      </c>
      <c r="G12" s="15">
        <f>-F32/20</f>
        <v>-468.53658</v>
      </c>
      <c r="H12" s="15">
        <f>-G32/20</f>
        <v>-445.109751</v>
      </c>
      <c r="I12" s="15">
        <f>-H32/20</f>
        <v>-422.85426345</v>
      </c>
    </row>
    <row r="13" ht="20.05" customHeight="1">
      <c r="B13" t="s" s="10">
        <v>11</v>
      </c>
      <c r="C13" s="14">
        <v>0</v>
      </c>
      <c r="D13" s="15">
        <v>0</v>
      </c>
      <c r="E13" s="15">
        <v>0</v>
      </c>
      <c r="F13" s="15">
        <f>IF(F26&gt;0,-F26*0.3,0)</f>
        <v>0</v>
      </c>
      <c r="G13" s="15">
        <f>IF(G26&gt;0,-G26*0.3,0)</f>
        <v>0</v>
      </c>
      <c r="H13" s="15">
        <f>IF(H26&gt;0,-H26*0.3,0)</f>
        <v>0</v>
      </c>
      <c r="I13" s="15">
        <f>IF(I26&gt;0,-I26*0.3,0)</f>
        <v>0</v>
      </c>
    </row>
    <row r="14" ht="20.05" customHeight="1">
      <c r="B14" t="s" s="10">
        <v>12</v>
      </c>
      <c r="C14" s="14">
        <f>C9+C10+C11+C12+C13</f>
        <v>2.789</v>
      </c>
      <c r="D14" s="15">
        <f>D9+D10+D11+D12+D13</f>
        <v>-5.805</v>
      </c>
      <c r="E14" s="15">
        <f>E9+E10+E11+E12+E13</f>
        <v>10.642</v>
      </c>
      <c r="F14" s="15">
        <f>F9+F10+F11+F12+F13</f>
        <v>-556.1664</v>
      </c>
      <c r="G14" s="15">
        <f>G9+G10+G11+G12+G13</f>
        <v>-480.49008</v>
      </c>
      <c r="H14" s="15">
        <f>H9+H10+H11+H12+H13</f>
        <v>-393.292626</v>
      </c>
      <c r="I14" s="15">
        <f>I9+I10+I11+I12+I13</f>
        <v>-291.3238572</v>
      </c>
    </row>
    <row r="15" ht="20.05" customHeight="1">
      <c r="B15" t="s" s="10">
        <v>13</v>
      </c>
      <c r="C15" s="14">
        <f>-MIN(0,C14)</f>
        <v>0</v>
      </c>
      <c r="D15" s="15">
        <v>0</v>
      </c>
      <c r="E15" s="15">
        <f>-MIN(D33,E14)</f>
        <v>0</v>
      </c>
      <c r="F15" s="15">
        <f>-MIN(E33,F14)</f>
        <v>556.1664</v>
      </c>
      <c r="G15" s="15">
        <f>-MIN(F33,G14)</f>
        <v>480.49008</v>
      </c>
      <c r="H15" s="15">
        <f>-MIN(G33,H14)</f>
        <v>393.292626</v>
      </c>
      <c r="I15" s="15">
        <f>-MIN(H33,I14)</f>
        <v>291.3238572</v>
      </c>
    </row>
    <row r="16" ht="20.05" customHeight="1">
      <c r="B16" t="s" s="10">
        <v>14</v>
      </c>
      <c r="C16" s="14">
        <v>18.722</v>
      </c>
      <c r="D16" s="15">
        <f>C19</f>
        <v>21.32</v>
      </c>
      <c r="E16" s="15">
        <f>D19</f>
        <v>15.519</v>
      </c>
      <c r="F16" s="15">
        <f>E19</f>
        <v>26.085</v>
      </c>
      <c r="G16" s="15">
        <f>F19</f>
        <v>26.085</v>
      </c>
      <c r="H16" s="15">
        <f>G19</f>
        <v>26.085</v>
      </c>
      <c r="I16" s="15">
        <f>H19</f>
        <v>26.085</v>
      </c>
    </row>
    <row r="17" ht="20.05" customHeight="1">
      <c r="B17" t="s" s="10">
        <v>15</v>
      </c>
      <c r="C17" s="14">
        <v>-0.191</v>
      </c>
      <c r="D17" s="15">
        <f>-0.187-C17</f>
        <v>0.004</v>
      </c>
      <c r="E17" s="15">
        <f>-0.263-D17-C17</f>
        <v>-0.076</v>
      </c>
      <c r="F17" s="15">
        <v>0</v>
      </c>
      <c r="G17" s="15">
        <v>0</v>
      </c>
      <c r="H17" s="15"/>
      <c r="I17" s="15"/>
    </row>
    <row r="18" ht="20.05" customHeight="1">
      <c r="B18" t="s" s="10">
        <v>16</v>
      </c>
      <c r="C18" s="14">
        <f>C9+C10+C11+C12+C13+C15+C17</f>
        <v>2.598</v>
      </c>
      <c r="D18" s="15">
        <f>D9+D10+D11+D12+D13+D15+D17</f>
        <v>-5.801</v>
      </c>
      <c r="E18" s="15">
        <f>E9+E10+E11+E12+E13+E15+E17</f>
        <v>10.566</v>
      </c>
      <c r="F18" s="15">
        <f>F9+F10+F11+F12+F13+F15+F17</f>
        <v>0</v>
      </c>
      <c r="G18" s="15">
        <f>G9+G10+G11+G12+G13+G15+G17</f>
        <v>0</v>
      </c>
      <c r="H18" s="15">
        <f>H9+H10+H11+H12+H13+H15+H17</f>
        <v>0</v>
      </c>
      <c r="I18" s="15">
        <f>I9+I10+I11+I12+I13+I15+I17</f>
        <v>0</v>
      </c>
    </row>
    <row r="19" ht="20.05" customHeight="1">
      <c r="B19" t="s" s="10">
        <v>17</v>
      </c>
      <c r="C19" s="14">
        <f>C16+C18</f>
        <v>21.32</v>
      </c>
      <c r="D19" s="15">
        <f>D16+D18</f>
        <v>15.519</v>
      </c>
      <c r="E19" s="15">
        <f>E16+E18</f>
        <v>26.085</v>
      </c>
      <c r="F19" s="15">
        <f>F16+F18</f>
        <v>26.085</v>
      </c>
      <c r="G19" s="15">
        <f>G16+G18</f>
        <v>26.085</v>
      </c>
      <c r="H19" s="15">
        <f>H16+H18</f>
        <v>26.085</v>
      </c>
      <c r="I19" s="15">
        <f>I16+I18</f>
        <v>26.085</v>
      </c>
    </row>
    <row r="20" ht="20.05" customHeight="1">
      <c r="B20" t="s" s="10">
        <v>18</v>
      </c>
      <c r="C20" s="14"/>
      <c r="D20" s="15"/>
      <c r="E20" s="15"/>
      <c r="F20" s="15"/>
      <c r="G20" s="15"/>
      <c r="H20" s="15"/>
      <c r="I20" s="15"/>
    </row>
    <row r="21" ht="20.05" customHeight="1">
      <c r="B21" t="s" s="10">
        <v>19</v>
      </c>
      <c r="C21" s="14">
        <v>223.714</v>
      </c>
      <c r="D21" s="15">
        <f>453.416-C21</f>
        <v>229.702</v>
      </c>
      <c r="E21" s="15">
        <f>487.427-D21-C21</f>
        <v>34.011</v>
      </c>
      <c r="F21" s="16"/>
      <c r="G21" s="16"/>
      <c r="H21" s="16"/>
      <c r="I21" s="16"/>
    </row>
    <row r="22" ht="20.05" customHeight="1">
      <c r="B22" t="s" s="10">
        <v>20</v>
      </c>
      <c r="C22" s="14"/>
      <c r="D22" s="15"/>
      <c r="E22" s="15"/>
      <c r="F22" s="15">
        <f>F6</f>
        <v>204.066</v>
      </c>
      <c r="G22" s="15">
        <f>G6</f>
        <v>255.0825</v>
      </c>
      <c r="H22" s="15">
        <f>H6</f>
        <v>318.853125</v>
      </c>
      <c r="I22" s="15">
        <f>I6</f>
        <v>398.56640625</v>
      </c>
    </row>
    <row r="23" ht="20.05" customHeight="1">
      <c r="B23" t="s" s="10">
        <v>21</v>
      </c>
      <c r="C23" s="14">
        <v>-282.857</v>
      </c>
      <c r="D23" s="15">
        <f>-537.402-C23</f>
        <v>-254.545</v>
      </c>
      <c r="E23" s="15">
        <f>-784.371-D23-C23</f>
        <v>-246.969</v>
      </c>
      <c r="F23" s="15">
        <f>E23</f>
        <v>-246.969</v>
      </c>
      <c r="G23" s="15">
        <f>F23</f>
        <v>-246.969</v>
      </c>
      <c r="H23" s="15">
        <f>G23</f>
        <v>-246.969</v>
      </c>
      <c r="I23" s="15">
        <f>H23</f>
        <v>-246.969</v>
      </c>
    </row>
    <row r="24" ht="20.05" customHeight="1">
      <c r="B24" t="s" s="10">
        <v>22</v>
      </c>
      <c r="C24" s="14"/>
      <c r="D24" s="15"/>
      <c r="E24" s="15"/>
      <c r="F24" s="15"/>
      <c r="G24" s="15"/>
      <c r="H24" s="15"/>
      <c r="I24" s="15"/>
    </row>
    <row r="25" ht="20.05" customHeight="1">
      <c r="B25" t="s" s="10">
        <v>5</v>
      </c>
      <c r="C25" s="14">
        <f>C26-C24-C23-C21</f>
        <v>-690.535</v>
      </c>
      <c r="D25" s="15">
        <f>D26-D24-D23-D21</f>
        <v>-397.251</v>
      </c>
      <c r="E25" s="15">
        <f>E26-E24-E23-E21</f>
        <v>-266.77</v>
      </c>
      <c r="F25" s="15">
        <f>F7</f>
        <v>-266.77</v>
      </c>
      <c r="G25" s="15">
        <f>G7</f>
        <v>-266.77</v>
      </c>
      <c r="H25" s="15">
        <f>H7</f>
        <v>-266.77</v>
      </c>
      <c r="I25" s="15">
        <f>I7</f>
        <v>-266.77</v>
      </c>
    </row>
    <row r="26" ht="20.05" customHeight="1">
      <c r="B26" t="s" s="10">
        <v>18</v>
      </c>
      <c r="C26" s="14">
        <v>-749.678</v>
      </c>
      <c r="D26" s="15">
        <f>-1171.772-C26</f>
        <v>-422.094</v>
      </c>
      <c r="E26" s="15">
        <f>-1651.5-D26-C26</f>
        <v>-479.728</v>
      </c>
      <c r="F26" s="15">
        <f>F22+F23+F24+F25</f>
        <v>-309.673</v>
      </c>
      <c r="G26" s="15">
        <f>G22+G23+G24+G25</f>
        <v>-258.6565</v>
      </c>
      <c r="H26" s="15">
        <f>H22+H23+H24+H25</f>
        <v>-194.885875</v>
      </c>
      <c r="I26" s="15">
        <f>I22+I23+I24+I25</f>
        <v>-115.17259375</v>
      </c>
    </row>
    <row r="27" ht="20.05" customHeight="1">
      <c r="B27" t="s" s="10">
        <v>23</v>
      </c>
      <c r="C27" s="14"/>
      <c r="D27" s="15"/>
      <c r="E27" s="15"/>
      <c r="F27" s="15"/>
      <c r="G27" s="15"/>
      <c r="H27" s="15"/>
      <c r="I27" s="15"/>
    </row>
    <row r="28" ht="20.05" customHeight="1">
      <c r="B28" t="s" s="10">
        <v>24</v>
      </c>
      <c r="C28" s="14">
        <v>5839.626</v>
      </c>
      <c r="D28" s="15">
        <v>5577.427</v>
      </c>
      <c r="E28" s="15">
        <v>5337.572</v>
      </c>
      <c r="F28" s="15">
        <f>F29+F30</f>
        <v>10036.061</v>
      </c>
      <c r="G28" s="15">
        <f>G29+G30</f>
        <v>10283.405</v>
      </c>
      <c r="H28" s="15">
        <f>H29+H30</f>
        <v>10530.749</v>
      </c>
      <c r="I28" s="15">
        <f>I29+I30</f>
        <v>10778.093</v>
      </c>
    </row>
    <row r="29" ht="20.05" customHeight="1">
      <c r="B29" t="s" s="10">
        <v>21</v>
      </c>
      <c r="C29" s="14">
        <f>425.882+1463.576</f>
        <v>1889.458</v>
      </c>
      <c r="D29" s="15"/>
      <c r="E29" s="15">
        <f>427.817+1810.798</f>
        <v>2238.615</v>
      </c>
      <c r="F29" s="15">
        <f>E29-F23</f>
        <v>2485.584</v>
      </c>
      <c r="G29" s="15">
        <f>F29-G23</f>
        <v>2732.553</v>
      </c>
      <c r="H29" s="15">
        <f>G29-H23</f>
        <v>2979.522</v>
      </c>
      <c r="I29" s="15">
        <f>H29-I23</f>
        <v>3226.491</v>
      </c>
    </row>
    <row r="30" ht="20.05" customHeight="1">
      <c r="B30" t="s" s="10">
        <v>25</v>
      </c>
      <c r="C30" s="14">
        <f>C28-C19+C29</f>
        <v>7707.764</v>
      </c>
      <c r="D30" s="15">
        <f>D28-D19+D29</f>
        <v>5561.908</v>
      </c>
      <c r="E30" s="15">
        <f>E28-E19+E29</f>
        <v>7550.102</v>
      </c>
      <c r="F30" s="15">
        <f>E30-F10</f>
        <v>7550.477</v>
      </c>
      <c r="G30" s="15">
        <f>F30-G10</f>
        <v>7550.852</v>
      </c>
      <c r="H30" s="15">
        <f>G30-H10</f>
        <v>7551.227</v>
      </c>
      <c r="I30" s="15">
        <f>H30-I10</f>
        <v>7551.602</v>
      </c>
    </row>
    <row r="31" ht="20.05" customHeight="1">
      <c r="B31" t="s" s="10">
        <v>26</v>
      </c>
      <c r="C31" s="14">
        <f>C30-C29</f>
        <v>5818.306</v>
      </c>
      <c r="D31" s="15">
        <f>D30-D29</f>
        <v>5561.908</v>
      </c>
      <c r="E31" s="15">
        <f>E30-E29</f>
        <v>5311.487</v>
      </c>
      <c r="F31" s="15">
        <f>F30-F29</f>
        <v>5064.893</v>
      </c>
      <c r="G31" s="15">
        <f>G30-G29</f>
        <v>4818.299</v>
      </c>
      <c r="H31" s="15">
        <f>H30-H29</f>
        <v>4571.705</v>
      </c>
      <c r="I31" s="15">
        <f>I30-I29</f>
        <v>4325.111</v>
      </c>
    </row>
    <row r="32" ht="20.05" customHeight="1">
      <c r="B32" t="s" s="10">
        <v>10</v>
      </c>
      <c r="C32" s="14">
        <v>9499.716</v>
      </c>
      <c r="D32" s="15">
        <v>9624.055</v>
      </c>
      <c r="E32" s="15">
        <v>9863.928</v>
      </c>
      <c r="F32" s="15">
        <f>E32+F12</f>
        <v>9370.731599999999</v>
      </c>
      <c r="G32" s="15">
        <f>F32+G12</f>
        <v>8902.195019999999</v>
      </c>
      <c r="H32" s="15">
        <f>G32+H12</f>
        <v>8457.085268999999</v>
      </c>
      <c r="I32" s="15">
        <f>H32+I12</f>
        <v>8034.23100555</v>
      </c>
    </row>
    <row r="33" ht="20.05" customHeight="1">
      <c r="B33" t="s" s="10">
        <v>13</v>
      </c>
      <c r="C33" s="14">
        <f>C15</f>
        <v>0</v>
      </c>
      <c r="D33" s="15">
        <f>C33+D15</f>
        <v>0</v>
      </c>
      <c r="E33" s="15">
        <f>D33+E15</f>
        <v>0</v>
      </c>
      <c r="F33" s="15">
        <f>E33+F15</f>
        <v>556.1664</v>
      </c>
      <c r="G33" s="15">
        <f>F33+G15</f>
        <v>1036.65648</v>
      </c>
      <c r="H33" s="15">
        <f>G33+H15</f>
        <v>1429.949106</v>
      </c>
      <c r="I33" s="15">
        <f>H33+I15</f>
        <v>1721.2729632</v>
      </c>
    </row>
    <row r="34" ht="20.05" customHeight="1">
      <c r="B34" t="s" s="10">
        <v>11</v>
      </c>
      <c r="C34" s="14">
        <v>-3660.09</v>
      </c>
      <c r="D34" s="15">
        <v>-4046.627</v>
      </c>
      <c r="E34" s="15">
        <v>-4526.355</v>
      </c>
      <c r="F34" s="15">
        <f>E34+F26+F13</f>
        <v>-4836.028</v>
      </c>
      <c r="G34" s="15">
        <f>F34+G26+G13</f>
        <v>-5094.6845</v>
      </c>
      <c r="H34" s="15">
        <f>G34+H26+H13</f>
        <v>-5289.570375</v>
      </c>
      <c r="I34" s="15">
        <f>H34+I26+I13</f>
        <v>-5404.74296875</v>
      </c>
    </row>
    <row r="35" ht="20.05" customHeight="1">
      <c r="B35" t="s" s="10">
        <v>27</v>
      </c>
      <c r="C35" s="14">
        <f>C19+C31-C32-C33-C34</f>
        <v>0</v>
      </c>
      <c r="D35" s="15">
        <f>D19+D31-D32-D33-D34</f>
        <v>-0.001</v>
      </c>
      <c r="E35" s="15">
        <f>E19+E31-E32-E33-E34</f>
        <v>-0.001</v>
      </c>
      <c r="F35" s="15">
        <f>F19+F31-F32-F33-F34</f>
        <v>0.108</v>
      </c>
      <c r="G35" s="15">
        <f>G19+G31-G32-G33-G34</f>
        <v>0.217</v>
      </c>
      <c r="H35" s="15">
        <f>H19+H31-H32-H33-H34</f>
        <v>0.326</v>
      </c>
      <c r="I35" s="15">
        <f>I19+I31-I32-I33-I34</f>
        <v>0.435</v>
      </c>
    </row>
    <row r="36" ht="20.05" customHeight="1">
      <c r="B36" t="s" s="10">
        <v>28</v>
      </c>
      <c r="C36" s="14"/>
      <c r="D36" s="15"/>
      <c r="E36" s="15"/>
      <c r="F36" s="15"/>
      <c r="G36" s="15"/>
      <c r="H36" s="15"/>
      <c r="I36" s="15"/>
    </row>
    <row r="37" ht="20.05" customHeight="1">
      <c r="B37" t="s" s="10">
        <v>29</v>
      </c>
      <c r="C37" s="14">
        <f>C19-C32-C33</f>
        <v>-9478.396000000001</v>
      </c>
      <c r="D37" s="15">
        <f>D19-D32-D33</f>
        <v>-9608.536</v>
      </c>
      <c r="E37" s="15">
        <f>E19-E32-E33</f>
        <v>-9837.843000000001</v>
      </c>
      <c r="F37" s="15">
        <f>F19-F32-F33</f>
        <v>-9900.813</v>
      </c>
      <c r="G37" s="15">
        <f>G19-G32-G33</f>
        <v>-9912.7665</v>
      </c>
      <c r="H37" s="15">
        <f>H19-H32-H33</f>
        <v>-9860.949375</v>
      </c>
      <c r="I37" s="15">
        <f>I19-I32-I33</f>
        <v>-9729.41896875</v>
      </c>
    </row>
    <row r="38" ht="20.05" customHeight="1">
      <c r="B38" t="s" s="10">
        <v>3</v>
      </c>
      <c r="C38" s="14">
        <f>SUM(C9:C11)</f>
        <v>2.789</v>
      </c>
      <c r="D38" s="15">
        <f>SUM(D9:D11)</f>
        <v>-5.805</v>
      </c>
      <c r="E38" s="15">
        <f>SUM(E9:E11)</f>
        <v>10.642</v>
      </c>
      <c r="F38" s="15">
        <f>SUM(F9:F11)</f>
        <v>-62.97</v>
      </c>
      <c r="G38" s="15">
        <f>SUM(G9:G11)</f>
        <v>-11.9535</v>
      </c>
      <c r="H38" s="15">
        <f>SUM(H9:H11)</f>
        <v>51.817125</v>
      </c>
      <c r="I38" s="15">
        <f>SUM(I9:I11)</f>
        <v>131.53040625</v>
      </c>
    </row>
    <row r="39" ht="20.05" customHeight="1">
      <c r="B39" t="s" s="10">
        <v>30</v>
      </c>
      <c r="C39" s="14">
        <v>184</v>
      </c>
      <c r="D39" s="15">
        <v>184</v>
      </c>
      <c r="E39" s="15">
        <v>184</v>
      </c>
      <c r="F39" s="15">
        <v>184</v>
      </c>
      <c r="G39" s="15">
        <v>525</v>
      </c>
      <c r="H39" s="15"/>
      <c r="I39" s="15"/>
    </row>
    <row r="40" ht="20.05" customHeight="1">
      <c r="B40" t="s" s="10">
        <v>31</v>
      </c>
      <c r="C40" s="14"/>
      <c r="D40" s="15"/>
      <c r="E40" s="15"/>
      <c r="F40" s="15"/>
      <c r="G40" s="15">
        <f>G39</f>
        <v>525</v>
      </c>
      <c r="H40" s="15">
        <f>I51</f>
        <v>507.3316970254</v>
      </c>
      <c r="I40" s="15"/>
    </row>
    <row r="41" ht="20.05" customHeight="1">
      <c r="B41" t="s" s="10">
        <v>32</v>
      </c>
      <c r="C41" s="14">
        <f>-'Capital'!F12-(C12+C15+C13)</f>
        <v>-1274.484</v>
      </c>
      <c r="D41" s="15">
        <f>C41-(D12+D15+D13)</f>
        <v>-1274.484</v>
      </c>
      <c r="E41" s="15">
        <f>D41-(E12+E15+E13)</f>
        <v>-1274.484</v>
      </c>
      <c r="F41" s="15">
        <f>E41-(F12+F15+F13)</f>
        <v>-1337.454</v>
      </c>
      <c r="G41" s="15">
        <f>F41-(G12+G15+G13)</f>
        <v>-1349.4075</v>
      </c>
      <c r="H41" s="15">
        <f>G41-(H12+H15+H13)</f>
        <v>-1297.590375</v>
      </c>
      <c r="I41" s="15">
        <f>H41-(I12+I15+I13)</f>
        <v>-1166.05996875</v>
      </c>
    </row>
    <row r="42" ht="20.05" customHeight="1">
      <c r="B42" t="s" s="10">
        <v>33</v>
      </c>
      <c r="C42" s="14"/>
      <c r="D42" s="15"/>
      <c r="E42" s="15"/>
      <c r="F42" s="15"/>
      <c r="G42" s="15"/>
      <c r="H42" s="15"/>
      <c r="I42" s="15">
        <v>5610</v>
      </c>
    </row>
    <row r="43" ht="20.05" customHeight="1">
      <c r="B43" t="s" s="10">
        <v>34</v>
      </c>
      <c r="C43" s="14"/>
      <c r="D43" s="15"/>
      <c r="E43" s="15"/>
      <c r="F43" s="15"/>
      <c r="G43" s="15"/>
      <c r="H43" s="15"/>
      <c r="I43" s="17">
        <f>I42/(I19+I31)</f>
        <v>1.28930068882211</v>
      </c>
    </row>
    <row r="44" ht="20.05" customHeight="1">
      <c r="B44" t="s" s="10">
        <v>35</v>
      </c>
      <c r="C44" s="14"/>
      <c r="D44" s="15"/>
      <c r="E44" s="15"/>
      <c r="F44" s="15"/>
      <c r="G44" s="15"/>
      <c r="H44" s="15"/>
      <c r="I44" s="12">
        <f>-(F13+G13+H13+I13)/I42</f>
        <v>0</v>
      </c>
    </row>
    <row r="45" ht="20.05" customHeight="1">
      <c r="B45" t="s" s="10">
        <v>3</v>
      </c>
      <c r="C45" s="14"/>
      <c r="D45" s="15"/>
      <c r="E45" s="15"/>
      <c r="F45" s="15"/>
      <c r="G45" s="15"/>
      <c r="H45" s="15"/>
      <c r="I45" s="15">
        <f>SUM(F9:I11)</f>
        <v>108.42403125</v>
      </c>
    </row>
    <row r="46" ht="20.05" customHeight="1">
      <c r="B46" t="s" s="10">
        <v>36</v>
      </c>
      <c r="C46" s="14"/>
      <c r="D46" s="15"/>
      <c r="E46" s="15"/>
      <c r="F46" s="15"/>
      <c r="G46" s="15"/>
      <c r="H46" s="15"/>
      <c r="I46" s="15">
        <f>I31/I45</f>
        <v>39.8907045803095</v>
      </c>
    </row>
    <row r="47" ht="20.05" customHeight="1">
      <c r="B47" t="s" s="10">
        <v>28</v>
      </c>
      <c r="C47" s="14"/>
      <c r="D47" s="15"/>
      <c r="E47" s="15"/>
      <c r="F47" s="15"/>
      <c r="G47" s="15"/>
      <c r="H47" s="15"/>
      <c r="I47" s="15">
        <f>I42/I45</f>
        <v>51.741296973774</v>
      </c>
    </row>
    <row r="48" ht="20.05" customHeight="1">
      <c r="B48" t="s" s="10">
        <v>37</v>
      </c>
      <c r="C48" s="14"/>
      <c r="D48" s="15"/>
      <c r="E48" s="15"/>
      <c r="F48" s="15"/>
      <c r="G48" s="15"/>
      <c r="H48" s="15"/>
      <c r="I48" s="15">
        <v>50</v>
      </c>
    </row>
    <row r="49" ht="20.05" customHeight="1">
      <c r="B49" t="s" s="10">
        <v>38</v>
      </c>
      <c r="C49" s="14"/>
      <c r="D49" s="15"/>
      <c r="E49" s="15"/>
      <c r="F49" s="15"/>
      <c r="G49" s="15"/>
      <c r="H49" s="15"/>
      <c r="I49" s="15">
        <f>I42/I50</f>
        <v>10.6857142857143</v>
      </c>
    </row>
    <row r="50" ht="20.05" customHeight="1">
      <c r="B50" t="s" s="10">
        <v>39</v>
      </c>
      <c r="C50" s="14"/>
      <c r="D50" s="15"/>
      <c r="E50" s="15"/>
      <c r="F50" s="15"/>
      <c r="G50" s="15"/>
      <c r="H50" s="15"/>
      <c r="I50" s="15">
        <f>G39</f>
        <v>525</v>
      </c>
    </row>
    <row r="51" ht="20.05" customHeight="1">
      <c r="B51" t="s" s="10">
        <v>31</v>
      </c>
      <c r="C51" s="14"/>
      <c r="D51" s="15"/>
      <c r="E51" s="15"/>
      <c r="F51" s="15"/>
      <c r="G51" s="15"/>
      <c r="H51" s="15"/>
      <c r="I51" s="15">
        <f>(I45*I48)/I49</f>
        <v>507.3316970254</v>
      </c>
    </row>
    <row r="52" ht="20.05" customHeight="1">
      <c r="B52" t="s" s="10">
        <v>40</v>
      </c>
      <c r="C52" s="14"/>
      <c r="D52" s="15"/>
      <c r="E52" s="15"/>
      <c r="F52" s="15"/>
      <c r="G52" s="15"/>
      <c r="H52" s="15"/>
      <c r="I52" s="12">
        <f>I51/I50-1</f>
        <v>-0.0336539104278095</v>
      </c>
    </row>
    <row r="53" ht="20.05" customHeight="1">
      <c r="B53" t="s" s="10">
        <v>41</v>
      </c>
      <c r="C53" s="14"/>
      <c r="D53" s="15"/>
      <c r="E53" s="15"/>
      <c r="F53" s="15">
        <v>1342</v>
      </c>
      <c r="G53" s="15"/>
      <c r="H53" s="15"/>
      <c r="I53" s="12">
        <f>E21/54-1</f>
        <v>-0.370166666666667</v>
      </c>
    </row>
  </sheetData>
  <mergeCells count="1">
    <mergeCell ref="B2:I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1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35156" style="18" customWidth="1"/>
    <col min="2" max="6" width="12.6797" style="18" customWidth="1"/>
    <col min="7" max="16384" width="16.3516" style="18" customWidth="1"/>
  </cols>
  <sheetData>
    <row r="1" ht="44" customHeight="1"/>
    <row r="2" ht="27.65" customHeight="1">
      <c r="B2" t="s" s="2">
        <v>42</v>
      </c>
      <c r="C2" s="2"/>
      <c r="D2" s="2"/>
      <c r="E2" s="2"/>
      <c r="F2" s="2"/>
    </row>
    <row r="3" ht="20.25" customHeight="1">
      <c r="B3" s="5"/>
      <c r="C3" t="s" s="3">
        <v>10</v>
      </c>
      <c r="D3" t="s" s="3">
        <v>11</v>
      </c>
      <c r="E3" t="s" s="3">
        <v>43</v>
      </c>
      <c r="F3" t="s" s="3">
        <v>43</v>
      </c>
    </row>
    <row r="4" ht="20.25" customHeight="1">
      <c r="B4" s="19">
        <v>2012</v>
      </c>
      <c r="C4" s="20">
        <v>7.089</v>
      </c>
      <c r="D4" s="21"/>
      <c r="E4" s="21">
        <f>C4+D4</f>
        <v>7.089</v>
      </c>
      <c r="F4" s="21">
        <f>E4</f>
        <v>7.089</v>
      </c>
    </row>
    <row r="5" ht="20.05" customHeight="1">
      <c r="B5" s="22">
        <v>2013</v>
      </c>
      <c r="C5" s="14">
        <v>3.96</v>
      </c>
      <c r="D5" s="15"/>
      <c r="E5" s="15">
        <f>C5+D5</f>
        <v>3.96</v>
      </c>
      <c r="F5" s="15">
        <f>E5+F4</f>
        <v>11.049</v>
      </c>
    </row>
    <row r="6" ht="20.05" customHeight="1">
      <c r="B6" s="22">
        <v>2014</v>
      </c>
      <c r="C6" s="14">
        <f>33.792-12.304</f>
        <v>21.488</v>
      </c>
      <c r="D6" s="15"/>
      <c r="E6" s="15">
        <f>C6+D6</f>
        <v>21.488</v>
      </c>
      <c r="F6" s="15">
        <f>E6+F5</f>
        <v>32.537</v>
      </c>
    </row>
    <row r="7" ht="20.05" customHeight="1">
      <c r="B7" s="22">
        <v>2015</v>
      </c>
      <c r="C7" s="14">
        <v>-2.694</v>
      </c>
      <c r="D7" s="15"/>
      <c r="E7" s="15">
        <f>C7+D7</f>
        <v>-2.694</v>
      </c>
      <c r="F7" s="15">
        <f>E7+F6</f>
        <v>29.843</v>
      </c>
    </row>
    <row r="8" ht="20.05" customHeight="1">
      <c r="B8" s="22">
        <v>2016</v>
      </c>
      <c r="C8" s="14">
        <v>0</v>
      </c>
      <c r="D8" s="15"/>
      <c r="E8" s="15">
        <f>C8+D8</f>
        <v>0</v>
      </c>
      <c r="F8" s="15">
        <f>E8+F7</f>
        <v>29.843</v>
      </c>
    </row>
    <row r="9" ht="20.05" customHeight="1">
      <c r="B9" s="22">
        <v>2017</v>
      </c>
      <c r="C9" s="14">
        <v>0</v>
      </c>
      <c r="D9" s="15"/>
      <c r="E9" s="15">
        <f>C9+D9</f>
        <v>0</v>
      </c>
      <c r="F9" s="15">
        <f>E9+F8</f>
        <v>29.843</v>
      </c>
    </row>
    <row r="10" ht="20.05" customHeight="1">
      <c r="B10" s="22">
        <v>2018</v>
      </c>
      <c r="C10" s="14">
        <v>373.595</v>
      </c>
      <c r="D10" s="15"/>
      <c r="E10" s="15">
        <f>C10+D10</f>
        <v>373.595</v>
      </c>
      <c r="F10" s="15">
        <f>E10+F9</f>
        <v>403.438</v>
      </c>
    </row>
    <row r="11" ht="20.05" customHeight="1">
      <c r="B11" s="22">
        <v>2019</v>
      </c>
      <c r="C11" s="14">
        <v>1026.264</v>
      </c>
      <c r="D11" s="16"/>
      <c r="E11" s="15">
        <f>C11+D11</f>
        <v>1026.264</v>
      </c>
      <c r="F11" s="15">
        <f>E11+F10</f>
        <v>1429.702</v>
      </c>
    </row>
    <row r="12" ht="20.05" customHeight="1">
      <c r="B12" s="22">
        <v>2020</v>
      </c>
      <c r="C12" s="14">
        <f>-140.9-14.318</f>
        <v>-155.218</v>
      </c>
      <c r="D12" s="15"/>
      <c r="E12" s="15">
        <f>C12+D12</f>
        <v>-155.218</v>
      </c>
      <c r="F12" s="15">
        <f>E12+F11</f>
        <v>1274.484</v>
      </c>
    </row>
    <row r="13" ht="20.05" customHeight="1">
      <c r="B13" s="22">
        <v>2021</v>
      </c>
      <c r="C13" s="14"/>
      <c r="D13" s="15"/>
      <c r="E13" s="15">
        <f>C13+D13</f>
        <v>0</v>
      </c>
      <c r="F13" s="15"/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