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<sst xmlns="http://schemas.openxmlformats.org/spreadsheetml/2006/main" uniqueCount="55">
  <si>
    <t>Financial model</t>
  </si>
  <si>
    <t>Rpbn</t>
  </si>
  <si>
    <t>4Q 2021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</si>
  <si>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</si>
  <si>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</si>
  <si>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</si>
  <si>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</si>
  <si>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</si>
  <si>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</si>
  <si>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</si>
  <si>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</si>
  <si>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</si>
  <si>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</si>
  <si>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</si>
  <si>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</si>
  <si>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</si>
  <si>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</si>
  <si>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</si>
  <si>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>End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</si>
  <si>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</si>
  <si>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</si>
  <si>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</si>
  <si>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</si>
  <si>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</si>
  <si>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</si>
  <si>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</si>
  <si>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</si>
  <si>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</si>
  <si>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</si>
  <si>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</si>
  <si>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</si>
  <si>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</si>
  <si>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</si>
  <si>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</si>
  <si>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</si>
  <si>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</si>
  <si>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</si>
  <si>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</si>
  <si>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</si>
  <si>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</si>
  <si>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</si>
  <si>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</si>
  <si>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Net profit </t>
  </si>
  <si>
    <t xml:space="preserve">Sales growth </t>
  </si>
  <si>
    <t>Cost ratio</t>
  </si>
  <si>
    <t xml:space="preserve">Cashflow costs </t>
  </si>
  <si>
    <t xml:space="preserve">Receipts </t>
  </si>
  <si>
    <t>Capex</t>
  </si>
  <si>
    <t xml:space="preserve">Investment </t>
  </si>
  <si>
    <t xml:space="preserve">Free cashflow </t>
  </si>
  <si>
    <t>Capital</t>
  </si>
  <si>
    <t>Rp bn</t>
  </si>
  <si>
    <t>Cash</t>
  </si>
  <si>
    <t>Assets</t>
  </si>
  <si>
    <t>CLEO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</si>
</sst>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horizontal="right" vertical="top" wrapText="1"/>
    </xf>
    <xf numFmtId="3" fontId="0" borderId="6" applyNumberFormat="1" applyFont="1" applyFill="0" applyBorder="1" applyAlignment="1" applyProtection="0">
      <alignment horizontal="right" vertical="top" wrapText="1"/>
    </xf>
    <xf numFmtId="0" fontId="3" borderId="6" applyNumberFormat="1" applyFont="1" applyFill="0" applyBorder="1" applyAlignment="1" applyProtection="0">
      <alignment horizontal="right" vertical="center" wrapText="1" readingOrder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505859</xdr:colOff>
      <xdr:row>3</xdr:row>
      <xdr:rowOff>132507</xdr:rowOff>
    </xdr:from>
    <xdr:to>
      <xdr:col>12</xdr:col>
      <xdr:colOff>982980</xdr:colOff>
      <xdr:row>46</xdr:row>
      <xdr:rowOff>54191</xdr:rowOff>
    </xdr:to>
    <xdr:pic>
      <xdr:nvPicPr>
        <xdr:cNvPr id="2" name="Image" descr="Image"/>
        <xdr:cNvPicPr>
          <a:picLocks noChangeAspect="0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76259" y="1008807"/>
          <a:ext cx="7944722" cy="10873530"/>
        </a:xfrm>
        <a:prstGeom prst="rect">
          <a:avLst/>
        </a:prstGeom>
        <a:effectLst>
          <a:outerShdw sx="100000" sy="100000" kx="0" ky="0" algn="b" rotWithShape="0" blurRad="12700" dist="12700" dir="16200000">
            <a:srgbClr val="000000">
              <a:alpha val="2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25781" style="1" customWidth="1"/>
    <col min="2" max="2" width="15.6172" style="1" customWidth="1"/>
    <col min="3" max="6" width="8.67969" style="1" customWidth="1"/>
    <col min="7" max="16384" width="16.3516" style="1" customWidth="1"/>
  </cols>
  <sheetData>
    <row r="1" ht="21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AVERAGE('Sales'!G23:G26)</f>
        <v>0.0565437798946171</v>
      </c>
      <c r="D4" s="8"/>
      <c r="E4" s="8"/>
      <c r="F4" s="9">
        <f>AVERAGE(C5:F5)</f>
        <v>0.0525</v>
      </c>
    </row>
    <row r="5" ht="20.05" customHeight="1">
      <c r="B5" t="s" s="10">
        <v>4</v>
      </c>
      <c r="C5" s="11">
        <v>0.12</v>
      </c>
      <c r="D5" s="12">
        <v>-0.05</v>
      </c>
      <c r="E5" s="12">
        <v>0.07000000000000001</v>
      </c>
      <c r="F5" s="12">
        <v>0.07000000000000001</v>
      </c>
    </row>
    <row r="6" ht="20.05" customHeight="1">
      <c r="B6" t="s" s="10">
        <v>5</v>
      </c>
      <c r="C6" s="13">
        <f>'Sales'!C26*(1+C5)</f>
        <v>306.432</v>
      </c>
      <c r="D6" s="14">
        <f>C6*(1+D5)</f>
        <v>291.1104</v>
      </c>
      <c r="E6" s="14">
        <f>D6*(1+E5)</f>
        <v>311.488128</v>
      </c>
      <c r="F6" s="14">
        <f>E6*(1+F5)</f>
        <v>333.29229696</v>
      </c>
    </row>
    <row r="7" ht="20.05" customHeight="1">
      <c r="B7" t="s" s="10">
        <v>6</v>
      </c>
      <c r="C7" s="15">
        <f>AVERAGE('Sales'!H26)</f>
        <v>-0.755482456140351</v>
      </c>
      <c r="D7" s="16">
        <f>C7</f>
        <v>-0.755482456140351</v>
      </c>
      <c r="E7" s="16">
        <f>D7</f>
        <v>-0.755482456140351</v>
      </c>
      <c r="F7" s="16">
        <f>E7</f>
        <v>-0.755482456140351</v>
      </c>
    </row>
    <row r="8" ht="20.05" customHeight="1">
      <c r="B8" t="s" s="10">
        <v>7</v>
      </c>
      <c r="C8" s="17">
        <f>C7*C6</f>
        <v>-231.504</v>
      </c>
      <c r="D8" s="18">
        <f>D7*D6</f>
        <v>-219.9288</v>
      </c>
      <c r="E8" s="18">
        <f>E7*E6</f>
        <v>-235.323816</v>
      </c>
      <c r="F8" s="18">
        <f>F7*F6</f>
        <v>-251.79648312</v>
      </c>
    </row>
    <row r="9" ht="20.05" customHeight="1">
      <c r="B9" t="s" s="10">
        <v>8</v>
      </c>
      <c r="C9" s="17">
        <f>C6+C8</f>
        <v>74.928</v>
      </c>
      <c r="D9" s="18">
        <f>D6+D8</f>
        <v>71.1816</v>
      </c>
      <c r="E9" s="18">
        <f>E6+E8</f>
        <v>76.164312</v>
      </c>
      <c r="F9" s="18">
        <f>F6+F8</f>
        <v>81.49581384</v>
      </c>
    </row>
    <row r="10" ht="20.05" customHeight="1">
      <c r="B10" t="s" s="10">
        <v>9</v>
      </c>
      <c r="C10" s="17">
        <f>AVERAGE('Cashflow '!F26)</f>
        <v>-10</v>
      </c>
      <c r="D10" s="18">
        <f>C10</f>
        <v>-10</v>
      </c>
      <c r="E10" s="18">
        <f>D10</f>
        <v>-10</v>
      </c>
      <c r="F10" s="18">
        <f>E10</f>
        <v>-10</v>
      </c>
    </row>
    <row r="11" ht="20.05" customHeight="1">
      <c r="B11" t="s" s="10">
        <v>10</v>
      </c>
      <c r="C11" s="17">
        <f>'Cashflow '!H26</f>
        <v>-0.05</v>
      </c>
      <c r="D11" s="18">
        <f>C11</f>
        <v>-0.05</v>
      </c>
      <c r="E11" s="18">
        <f>D11</f>
        <v>-0.05</v>
      </c>
      <c r="F11" s="18">
        <f>E11</f>
        <v>-0.05</v>
      </c>
    </row>
    <row r="12" ht="20.05" customHeight="1">
      <c r="B12" t="s" s="10">
        <v>11</v>
      </c>
      <c r="C12" s="17">
        <f>C13+C14+C16</f>
        <v>-34.2484</v>
      </c>
      <c r="D12" s="18">
        <f>D13+D14+D16</f>
        <v>-32.20448</v>
      </c>
      <c r="E12" s="18">
        <f>E13+E14+E16</f>
        <v>-32.8252936</v>
      </c>
      <c r="F12" s="18">
        <f>F13+F14+F16</f>
        <v>-33.594444152</v>
      </c>
    </row>
    <row r="13" ht="20.05" customHeight="1">
      <c r="B13" t="s" s="10">
        <v>12</v>
      </c>
      <c r="C13" s="17">
        <f>-('Balance sheet'!G22)/20</f>
        <v>-18.4</v>
      </c>
      <c r="D13" s="18">
        <f>-C27/20</f>
        <v>-17.48</v>
      </c>
      <c r="E13" s="18">
        <f>-D27/20</f>
        <v>-16.606</v>
      </c>
      <c r="F13" s="18">
        <f>-E27/20</f>
        <v>-15.7757</v>
      </c>
    </row>
    <row r="14" ht="20.05" customHeight="1">
      <c r="B14" t="s" s="10">
        <v>13</v>
      </c>
      <c r="C14" s="17">
        <f>IF(C22&gt;0,-C22*0.3,0)</f>
        <v>-15.8484</v>
      </c>
      <c r="D14" s="18">
        <f>IF(D22&gt;0,-D22*0.3,0)</f>
        <v>-14.72448</v>
      </c>
      <c r="E14" s="18">
        <f>IF(E22&gt;0,-E22*0.3,0)</f>
        <v>-16.2192936</v>
      </c>
      <c r="F14" s="18">
        <f>IF(F22&gt;0,-F22*0.3,0)</f>
        <v>-17.818744152</v>
      </c>
    </row>
    <row r="15" ht="20.05" customHeight="1">
      <c r="B15" t="s" s="10">
        <v>14</v>
      </c>
      <c r="C15" s="17">
        <f>C9+C10+C13+C14</f>
        <v>30.6796</v>
      </c>
      <c r="D15" s="18">
        <f>D9+D10+D13+D14</f>
        <v>28.97712</v>
      </c>
      <c r="E15" s="18">
        <f>E9+E10+E13+E14</f>
        <v>33.3390184</v>
      </c>
      <c r="F15" s="18">
        <f>F9+F10+F13+F14</f>
        <v>37.901369688</v>
      </c>
    </row>
    <row r="16" ht="20.05" customHeight="1">
      <c r="B16" t="s" s="10">
        <v>15</v>
      </c>
      <c r="C16" s="17">
        <f>-MIN(0,C15)</f>
        <v>0</v>
      </c>
      <c r="D16" s="18">
        <f>-MIN(C28,D15)</f>
        <v>0</v>
      </c>
      <c r="E16" s="18">
        <f>-MIN(D28,E15)</f>
        <v>0</v>
      </c>
      <c r="F16" s="18">
        <f>-MIN(E28,F15)</f>
        <v>0</v>
      </c>
    </row>
    <row r="17" ht="20.05" customHeight="1">
      <c r="B17" t="s" s="10">
        <v>16</v>
      </c>
      <c r="C17" s="17">
        <f>'Balance sheet'!C22</f>
        <v>15</v>
      </c>
      <c r="D17" s="18">
        <f>C19</f>
        <v>45.6796</v>
      </c>
      <c r="E17" s="18">
        <f>D19</f>
        <v>74.65672000000001</v>
      </c>
      <c r="F17" s="18">
        <f>E19</f>
        <v>107.9957384</v>
      </c>
    </row>
    <row r="18" ht="20.05" customHeight="1">
      <c r="B18" t="s" s="10">
        <v>17</v>
      </c>
      <c r="C18" s="17">
        <f>C9+C10+C12</f>
        <v>30.6796</v>
      </c>
      <c r="D18" s="18">
        <f>D9+D10+D12</f>
        <v>28.97712</v>
      </c>
      <c r="E18" s="18">
        <f>E9+E10+E12</f>
        <v>33.3390184</v>
      </c>
      <c r="F18" s="18">
        <f>F9+F10+F12</f>
        <v>37.901369688</v>
      </c>
    </row>
    <row r="19" ht="20.05" customHeight="1">
      <c r="B19" t="s" s="10">
        <v>18</v>
      </c>
      <c r="C19" s="17">
        <f>C17+C18</f>
        <v>45.6796</v>
      </c>
      <c r="D19" s="18">
        <f>D17+D18</f>
        <v>74.65672000000001</v>
      </c>
      <c r="E19" s="18">
        <f>E17+E18</f>
        <v>107.9957384</v>
      </c>
      <c r="F19" s="18">
        <f>F17+F18</f>
        <v>145.897108088</v>
      </c>
    </row>
    <row r="20" ht="20.05" customHeight="1">
      <c r="B20" t="s" s="19">
        <v>19</v>
      </c>
      <c r="C20" s="20"/>
      <c r="D20" s="21"/>
      <c r="E20" s="21"/>
      <c r="F20" s="22"/>
    </row>
    <row r="21" ht="20.05" customHeight="1">
      <c r="B21" t="s" s="10">
        <v>20</v>
      </c>
      <c r="C21" s="17">
        <f>-AVERAGE('Sales'!E26)</f>
        <v>-22.1</v>
      </c>
      <c r="D21" s="18">
        <f>C21</f>
        <v>-22.1</v>
      </c>
      <c r="E21" s="18">
        <f>D21</f>
        <v>-22.1</v>
      </c>
      <c r="F21" s="18">
        <f>E21</f>
        <v>-22.1</v>
      </c>
    </row>
    <row r="22" ht="20.05" customHeight="1">
      <c r="B22" t="s" s="10">
        <v>19</v>
      </c>
      <c r="C22" s="17">
        <f>C6+C8+C21</f>
        <v>52.828</v>
      </c>
      <c r="D22" s="18">
        <f>D6+D8+D21</f>
        <v>49.0816</v>
      </c>
      <c r="E22" s="18">
        <f>E6+E8+E21</f>
        <v>54.064312</v>
      </c>
      <c r="F22" s="18">
        <f>F6+F8+F21</f>
        <v>59.39581384</v>
      </c>
    </row>
    <row r="23" ht="20.05" customHeight="1">
      <c r="B23" t="s" s="19">
        <v>21</v>
      </c>
      <c r="C23" s="20"/>
      <c r="D23" s="21"/>
      <c r="E23" s="21"/>
      <c r="F23" s="21"/>
    </row>
    <row r="24" ht="20.05" customHeight="1">
      <c r="B24" t="s" s="10">
        <v>22</v>
      </c>
      <c r="C24" s="17">
        <f>'Balance sheet'!E22+'Balance sheet'!F22-C10</f>
        <v>1787</v>
      </c>
      <c r="D24" s="18">
        <f>C24-D10</f>
        <v>1797</v>
      </c>
      <c r="E24" s="18">
        <f>D24-E10</f>
        <v>1807</v>
      </c>
      <c r="F24" s="18">
        <f>E24-F10</f>
        <v>1817</v>
      </c>
    </row>
    <row r="25" ht="20.05" customHeight="1">
      <c r="B25" t="s" s="10">
        <v>23</v>
      </c>
      <c r="C25" s="17">
        <f>'Balance sheet'!F22-C21</f>
        <v>459.1</v>
      </c>
      <c r="D25" s="18">
        <f>C25-D21</f>
        <v>481.2</v>
      </c>
      <c r="E25" s="18">
        <f>D25-E21</f>
        <v>503.3</v>
      </c>
      <c r="F25" s="18">
        <f>E25-F21</f>
        <v>525.4</v>
      </c>
    </row>
    <row r="26" ht="20.05" customHeight="1">
      <c r="B26" t="s" s="10">
        <v>24</v>
      </c>
      <c r="C26" s="17">
        <f>C24-C25</f>
        <v>1327.9</v>
      </c>
      <c r="D26" s="18">
        <f>D24-D25</f>
        <v>1315.8</v>
      </c>
      <c r="E26" s="18">
        <f>E24-E25</f>
        <v>1303.7</v>
      </c>
      <c r="F26" s="18">
        <f>F24-F25</f>
        <v>1291.6</v>
      </c>
    </row>
    <row r="27" ht="20.05" customHeight="1">
      <c r="B27" t="s" s="10">
        <v>12</v>
      </c>
      <c r="C27" s="17">
        <f>'Balance sheet'!G22+C13</f>
        <v>349.6</v>
      </c>
      <c r="D27" s="18">
        <f>C27+D13</f>
        <v>332.12</v>
      </c>
      <c r="E27" s="18">
        <f>D27+E13</f>
        <v>315.514</v>
      </c>
      <c r="F27" s="18">
        <f>E27+F13</f>
        <v>299.7383</v>
      </c>
    </row>
    <row r="28" ht="20.05" customHeight="1">
      <c r="B28" t="s" s="10">
        <v>15</v>
      </c>
      <c r="C28" s="17">
        <f>C16</f>
        <v>0</v>
      </c>
      <c r="D28" s="18">
        <f>C28+D16</f>
        <v>0</v>
      </c>
      <c r="E28" s="18">
        <f>D28+E16</f>
        <v>0</v>
      </c>
      <c r="F28" s="18">
        <f>E28+F16</f>
        <v>0</v>
      </c>
    </row>
    <row r="29" ht="20.05" customHeight="1">
      <c r="B29" t="s" s="10">
        <v>13</v>
      </c>
      <c r="C29" s="17">
        <f>'Balance sheet'!H22+C22+C14</f>
        <v>1023.9796</v>
      </c>
      <c r="D29" s="18">
        <f>C29+D22+D14</f>
        <v>1058.33672</v>
      </c>
      <c r="E29" s="18">
        <f>D29+E22+E14</f>
        <v>1096.1817384</v>
      </c>
      <c r="F29" s="18">
        <f>E29+F22+F14</f>
        <v>1137.758808088</v>
      </c>
    </row>
    <row r="30" ht="20.05" customHeight="1">
      <c r="B30" t="s" s="10">
        <v>25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0">
        <v>26</v>
      </c>
      <c r="C31" s="17">
        <f>C19-C27-C28</f>
        <v>-303.9204</v>
      </c>
      <c r="D31" s="18">
        <f>D19-D27-D28</f>
        <v>-257.46328</v>
      </c>
      <c r="E31" s="18">
        <f>E19-E27-E28</f>
        <v>-207.5182616</v>
      </c>
      <c r="F31" s="18">
        <f>F19-F27-F28</f>
        <v>-153.841191912</v>
      </c>
    </row>
    <row r="32" ht="20.05" customHeight="1">
      <c r="B32" t="s" s="19">
        <v>27</v>
      </c>
      <c r="C32" s="17"/>
      <c r="D32" s="18"/>
      <c r="E32" s="18"/>
      <c r="F32" s="18"/>
    </row>
    <row r="33" ht="20.05" customHeight="1">
      <c r="B33" t="s" s="10">
        <v>28</v>
      </c>
      <c r="C33" s="17">
        <f>'Cashflow '!K26-(C12-C11)</f>
        <v>-247.8486</v>
      </c>
      <c r="D33" s="18">
        <f>C33-(D13-D11)</f>
        <v>-230.4186</v>
      </c>
      <c r="E33" s="18">
        <f>D33-(E13-E11)</f>
        <v>-213.8626</v>
      </c>
      <c r="F33" s="18">
        <f>E33-(F13-F11)</f>
        <v>-198.1369</v>
      </c>
    </row>
    <row r="34" ht="20.05" customHeight="1">
      <c r="B34" t="s" s="10">
        <v>29</v>
      </c>
      <c r="C34" s="17"/>
      <c r="D34" s="18"/>
      <c r="E34" s="18"/>
      <c r="F34" s="18">
        <v>5877</v>
      </c>
    </row>
    <row r="35" ht="20.05" customHeight="1">
      <c r="B35" t="s" s="10">
        <v>30</v>
      </c>
      <c r="C35" s="17"/>
      <c r="D35" s="18"/>
      <c r="E35" s="18"/>
      <c r="F35" s="23">
        <f>F34/(F19+F26)</f>
        <v>4.08835605089803</v>
      </c>
    </row>
    <row r="36" ht="20.05" customHeight="1">
      <c r="B36" t="s" s="10">
        <v>31</v>
      </c>
      <c r="C36" s="17"/>
      <c r="D36" s="18"/>
      <c r="E36" s="18"/>
      <c r="F36" s="24">
        <f>-(C14+D14+F14+E14)/F34</f>
        <v>0.0109938604308321</v>
      </c>
    </row>
    <row r="37" ht="20.05" customHeight="1">
      <c r="B37" t="s" s="10">
        <v>32</v>
      </c>
      <c r="C37" s="17"/>
      <c r="D37" s="18"/>
      <c r="E37" s="18"/>
      <c r="F37" s="18">
        <f>SUM(C9:F11)</f>
        <v>263.56972584</v>
      </c>
    </row>
    <row r="38" ht="20.05" customHeight="1">
      <c r="B38" t="s" s="10">
        <v>33</v>
      </c>
      <c r="C38" s="17"/>
      <c r="D38" s="18"/>
      <c r="E38" s="18"/>
      <c r="F38" s="23">
        <f>'Balance sheet'!E22/F37</f>
        <v>5.08404368418794</v>
      </c>
    </row>
    <row r="39" ht="20.05" customHeight="1">
      <c r="B39" t="s" s="10">
        <v>27</v>
      </c>
      <c r="C39" s="17"/>
      <c r="D39" s="18"/>
      <c r="E39" s="18"/>
      <c r="F39" s="18">
        <f>F34/F37</f>
        <v>22.2977050238601</v>
      </c>
    </row>
    <row r="40" ht="20.05" customHeight="1">
      <c r="B40" t="s" s="25">
        <v>34</v>
      </c>
      <c r="C40" s="17"/>
      <c r="D40" s="18"/>
      <c r="E40" s="18"/>
      <c r="F40" s="18">
        <v>25</v>
      </c>
    </row>
    <row r="41" ht="20.05" customHeight="1">
      <c r="B41" t="s" s="10">
        <v>35</v>
      </c>
      <c r="C41" s="17"/>
      <c r="D41" s="18"/>
      <c r="E41" s="18"/>
      <c r="F41" s="18">
        <f>F37*F40</f>
        <v>6589.243146</v>
      </c>
    </row>
    <row r="42" ht="20.05" customHeight="1">
      <c r="B42" t="s" s="10">
        <v>36</v>
      </c>
      <c r="C42" s="17"/>
      <c r="D42" s="18"/>
      <c r="E42" s="18"/>
      <c r="F42" s="18">
        <f>F34/F44</f>
        <v>11.9938775510204</v>
      </c>
    </row>
    <row r="43" ht="20.05" customHeight="1">
      <c r="B43" t="s" s="10">
        <v>37</v>
      </c>
      <c r="C43" s="17"/>
      <c r="D43" s="18"/>
      <c r="E43" s="18"/>
      <c r="F43" s="18">
        <f>F41/F42</f>
        <v>549.383893404799</v>
      </c>
    </row>
    <row r="44" ht="20.05" customHeight="1">
      <c r="B44" t="s" s="10">
        <v>38</v>
      </c>
      <c r="C44" s="17"/>
      <c r="D44" s="18"/>
      <c r="E44" s="18"/>
      <c r="F44" s="18">
        <f>'Share price'!C61</f>
        <v>490</v>
      </c>
    </row>
    <row r="45" ht="20.05" customHeight="1">
      <c r="B45" t="s" s="10">
        <v>39</v>
      </c>
      <c r="C45" s="17"/>
      <c r="D45" s="18"/>
      <c r="E45" s="18"/>
      <c r="F45" s="16">
        <f>F43/F44-1</f>
        <v>0.121191619193467</v>
      </c>
    </row>
    <row r="46" ht="20.05" customHeight="1">
      <c r="B46" t="s" s="10">
        <v>40</v>
      </c>
      <c r="C46" s="17"/>
      <c r="D46" s="18"/>
      <c r="E46" s="18"/>
      <c r="F46" s="16">
        <f>'Sales'!C26/'Sales'!C22-1</f>
        <v>0.211407419870447</v>
      </c>
    </row>
    <row r="47" ht="20.05" customHeight="1">
      <c r="B47" t="s" s="10">
        <v>41</v>
      </c>
      <c r="C47" s="17"/>
      <c r="D47" s="18"/>
      <c r="E47" s="18"/>
      <c r="F47" s="16">
        <f>('Sales'!D22+'Sales'!D23+'Sales'!D24+'Sales'!D25+'Sales'!D26)/('Sales'!C22+'Sales'!C23+'Sales'!C24+'Sales'!C25+'Sales'!C26)-1</f>
        <v>0.0605070148881051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6" customWidth="1"/>
    <col min="2" max="2" width="6.05469" style="26" customWidth="1"/>
    <col min="3" max="9" width="9.46094" style="26" customWidth="1"/>
    <col min="10" max="16384" width="16.3516" style="26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</row>
    <row r="3" ht="32.25" customHeight="1">
      <c r="B3" t="s" s="4">
        <v>1</v>
      </c>
      <c r="C3" t="s" s="4">
        <v>5</v>
      </c>
      <c r="D3" t="s" s="4">
        <v>34</v>
      </c>
      <c r="E3" t="s" s="4">
        <v>23</v>
      </c>
      <c r="F3" t="s" s="4">
        <v>42</v>
      </c>
      <c r="G3" t="s" s="4">
        <v>43</v>
      </c>
      <c r="H3" t="s" s="4">
        <v>44</v>
      </c>
      <c r="I3" t="s" s="4">
        <v>45</v>
      </c>
    </row>
    <row r="4" ht="20.25" customHeight="1">
      <c r="B4" s="27">
        <v>2016</v>
      </c>
      <c r="C4" s="28">
        <v>126.703</v>
      </c>
      <c r="D4" s="8"/>
      <c r="E4" s="29">
        <v>8</v>
      </c>
      <c r="F4" s="29">
        <v>8.3775</v>
      </c>
      <c r="G4" s="9"/>
      <c r="H4" s="30">
        <f>(E4+F4-C4)/C4</f>
        <v>-0.870741024285139</v>
      </c>
      <c r="I4" s="9">
        <f>('Cashflow '!D4-'Cashflow '!C4)/'Cashflow '!C4</f>
        <v>-0.790382933803893</v>
      </c>
    </row>
    <row r="5" ht="20.05" customHeight="1">
      <c r="B5" s="31"/>
      <c r="C5" s="13">
        <v>126.703</v>
      </c>
      <c r="D5" s="22"/>
      <c r="E5" s="14">
        <f>15.9-E4</f>
        <v>7.9</v>
      </c>
      <c r="F5" s="14">
        <v>8.3775</v>
      </c>
      <c r="G5" s="16">
        <f>C5/C4-1</f>
        <v>0</v>
      </c>
      <c r="H5" s="16">
        <f>(E5+F5-C5)/C5</f>
        <v>-0.871530271579994</v>
      </c>
      <c r="I5" s="12">
        <f>('Cashflow '!D5-'Cashflow '!C5)/'Cashflow '!C5</f>
        <v>-0.790382933803893</v>
      </c>
    </row>
    <row r="6" ht="20.05" customHeight="1">
      <c r="B6" s="31"/>
      <c r="C6" s="13">
        <v>137.815</v>
      </c>
      <c r="D6" s="22"/>
      <c r="E6" s="14">
        <f>32.8-SUM(E4:E5)</f>
        <v>16.9</v>
      </c>
      <c r="F6" s="14">
        <v>10.485</v>
      </c>
      <c r="G6" s="16">
        <f>C6/C5-1</f>
        <v>0.0877011594042761</v>
      </c>
      <c r="H6" s="16">
        <f>(E6+F6-C6)/C6</f>
        <v>-0.801291586547183</v>
      </c>
      <c r="I6" s="12">
        <f>('Cashflow '!D6-'Cashflow '!C6)/'Cashflow '!C6</f>
        <v>-0.659625652760664</v>
      </c>
    </row>
    <row r="7" ht="20.05" customHeight="1">
      <c r="B7" s="31"/>
      <c r="C7" s="13">
        <v>132.711</v>
      </c>
      <c r="D7" s="22"/>
      <c r="E7" s="14">
        <f>49.2-SUM(E4:E6)</f>
        <v>16.4</v>
      </c>
      <c r="F7" s="14">
        <v>12.022</v>
      </c>
      <c r="G7" s="16">
        <f>C7/C6-1</f>
        <v>-0.0370351558248376</v>
      </c>
      <c r="H7" s="16">
        <f>(E7+F7-C7)/C7</f>
        <v>-0.785835386667269</v>
      </c>
      <c r="I7" s="12">
        <f>('Cashflow '!D7-'Cashflow '!C7)/'Cashflow '!C7</f>
        <v>-0.9831314010308591</v>
      </c>
    </row>
    <row r="8" ht="20.05" customHeight="1">
      <c r="B8" s="32">
        <v>2017</v>
      </c>
      <c r="C8" s="13">
        <v>138.972</v>
      </c>
      <c r="D8" s="22"/>
      <c r="E8" s="14">
        <v>11.9</v>
      </c>
      <c r="F8" s="14">
        <v>8.69</v>
      </c>
      <c r="G8" s="16">
        <f>C8/C7-1</f>
        <v>0.047177701923729</v>
      </c>
      <c r="H8" s="16">
        <f>(E8+F8-C8)/C8</f>
        <v>-0.851840658549924</v>
      </c>
      <c r="I8" s="12">
        <f>('Cashflow '!D8-'Cashflow '!C8)/'Cashflow '!C8</f>
        <v>-0.785020556088756</v>
      </c>
    </row>
    <row r="9" ht="20.05" customHeight="1">
      <c r="B9" s="31"/>
      <c r="C9" s="13">
        <v>146.397</v>
      </c>
      <c r="D9" s="22"/>
      <c r="E9" s="14">
        <f>24.3-E8</f>
        <v>12.4</v>
      </c>
      <c r="F9" s="14">
        <v>8.587999999999999</v>
      </c>
      <c r="G9" s="16">
        <f>C9/C8-1</f>
        <v>0.0534280286676453</v>
      </c>
      <c r="H9" s="16">
        <f>(E9+F9-C9)/C9</f>
        <v>-0.856636406483739</v>
      </c>
      <c r="I9" s="12">
        <f>('Cashflow '!D9-'Cashflow '!C9)/'Cashflow '!C9</f>
        <v>-0.949988897563911</v>
      </c>
    </row>
    <row r="10" ht="20.05" customHeight="1">
      <c r="B10" s="31"/>
      <c r="C10" s="13">
        <v>155.403</v>
      </c>
      <c r="D10" s="22"/>
      <c r="E10" s="14">
        <f>38.3-SUM(E8:E9)</f>
        <v>14</v>
      </c>
      <c r="F10" s="14">
        <v>20.861</v>
      </c>
      <c r="G10" s="16">
        <f>C10/C9-1</f>
        <v>0.0615176540502879</v>
      </c>
      <c r="H10" s="16">
        <f>(E10+F10-C10)/C10</f>
        <v>-0.775673571295277</v>
      </c>
      <c r="I10" s="12">
        <f>('Cashflow '!D10-'Cashflow '!C10)/'Cashflow '!C10</f>
        <v>-0.726436723210487</v>
      </c>
    </row>
    <row r="11" ht="20.05" customHeight="1">
      <c r="B11" s="31"/>
      <c r="C11" s="13">
        <v>173.905</v>
      </c>
      <c r="D11" s="22"/>
      <c r="E11" s="14">
        <f>48.6-SUM(E8:E10)</f>
        <v>10.3</v>
      </c>
      <c r="F11" s="14">
        <v>12.034</v>
      </c>
      <c r="G11" s="16">
        <f>C11/C10-1</f>
        <v>0.11905819063982</v>
      </c>
      <c r="H11" s="16">
        <f>(E11+F11-C11)/C11</f>
        <v>-0.871573560277163</v>
      </c>
      <c r="I11" s="12">
        <f>('Cashflow '!D11-'Cashflow '!C11)/'Cashflow '!C11</f>
        <v>-1.00995974654769</v>
      </c>
    </row>
    <row r="12" ht="20.05" customHeight="1">
      <c r="B12" s="32">
        <v>2018</v>
      </c>
      <c r="C12" s="13">
        <v>162.59</v>
      </c>
      <c r="D12" s="22"/>
      <c r="E12" s="14">
        <v>12.8</v>
      </c>
      <c r="F12" s="14">
        <v>12.563</v>
      </c>
      <c r="G12" s="16">
        <f>C12/C11-1</f>
        <v>-0.065064259221989</v>
      </c>
      <c r="H12" s="16">
        <f>(E12+F12-C12)/C12</f>
        <v>-0.844006396457347</v>
      </c>
      <c r="I12" s="12">
        <f>('Cashflow '!D12-'Cashflow '!C12)/'Cashflow '!C12</f>
        <v>-0.785874151531829</v>
      </c>
    </row>
    <row r="13" ht="20.05" customHeight="1">
      <c r="B13" s="31"/>
      <c r="C13" s="13">
        <v>199.624</v>
      </c>
      <c r="D13" s="22"/>
      <c r="E13" s="14">
        <f>28.4-E12</f>
        <v>15.6</v>
      </c>
      <c r="F13" s="14">
        <v>15.17</v>
      </c>
      <c r="G13" s="16">
        <f>C13/C12-1</f>
        <v>0.227775385940095</v>
      </c>
      <c r="H13" s="16">
        <f>(E13+F13-C13)/C13</f>
        <v>-0.845860217208352</v>
      </c>
      <c r="I13" s="12">
        <f>('Cashflow '!D13-'Cashflow '!C13)/'Cashflow '!C13</f>
        <v>-0.851609916413567</v>
      </c>
    </row>
    <row r="14" ht="20.05" customHeight="1">
      <c r="B14" s="31"/>
      <c r="C14" s="13">
        <v>231.55</v>
      </c>
      <c r="D14" s="22"/>
      <c r="E14" s="14">
        <f>45.9-SUM(E12:E13)</f>
        <v>17.5</v>
      </c>
      <c r="F14" s="14">
        <v>19.107</v>
      </c>
      <c r="G14" s="16">
        <f>C14/C13-1</f>
        <v>0.159930669658959</v>
      </c>
      <c r="H14" s="16">
        <f>(E14+F14-C14)/C14</f>
        <v>-0.84190455625135</v>
      </c>
      <c r="I14" s="12">
        <f>('Cashflow '!D14-'Cashflow '!C14)/'Cashflow '!C14</f>
        <v>-0.8205531273164119</v>
      </c>
    </row>
    <row r="15" ht="20.05" customHeight="1">
      <c r="B15" s="31"/>
      <c r="C15" s="13">
        <v>237.34</v>
      </c>
      <c r="D15" s="22"/>
      <c r="E15" s="14">
        <f>60.4-SUM(E12:E14)</f>
        <v>14.5</v>
      </c>
      <c r="F15" s="14">
        <v>16.421</v>
      </c>
      <c r="G15" s="16">
        <f>C15/C14-1</f>
        <v>0.025005398402073</v>
      </c>
      <c r="H15" s="16">
        <f>(E15+F15-C15)/C15</f>
        <v>-0.869718547231819</v>
      </c>
      <c r="I15" s="12">
        <f>('Cashflow '!D15-'Cashflow '!C15)/'Cashflow '!C15</f>
        <v>-0.884570348703157</v>
      </c>
    </row>
    <row r="16" ht="20.05" customHeight="1">
      <c r="B16" s="32">
        <v>2019</v>
      </c>
      <c r="C16" s="13">
        <v>223.5</v>
      </c>
      <c r="D16" s="22"/>
      <c r="E16" s="14">
        <v>12.8</v>
      </c>
      <c r="F16" s="14">
        <v>25.287</v>
      </c>
      <c r="G16" s="16">
        <f>C16/C15-1</f>
        <v>-0.0583129687368332</v>
      </c>
      <c r="H16" s="16">
        <f>(E16+F16-C16)/C16</f>
        <v>-0.82958836689038</v>
      </c>
      <c r="I16" s="12">
        <f>('Cashflow '!D16-'Cashflow '!C16)/'Cashflow '!C16</f>
        <v>-0.7626590081661661</v>
      </c>
    </row>
    <row r="17" ht="20.05" customHeight="1">
      <c r="B17" s="31"/>
      <c r="C17" s="13">
        <v>268.483</v>
      </c>
      <c r="D17" s="22"/>
      <c r="E17" s="14">
        <f>26-E16</f>
        <v>13.2</v>
      </c>
      <c r="F17" s="14">
        <v>38.651</v>
      </c>
      <c r="G17" s="16">
        <f>C17/C16-1</f>
        <v>0.201266219239374</v>
      </c>
      <c r="H17" s="16">
        <f>(E17+F17-C17)/C17</f>
        <v>-0.806874178253372</v>
      </c>
      <c r="I17" s="12">
        <f>('Cashflow '!D17-'Cashflow '!C17)/'Cashflow '!C17</f>
        <v>-0.926796867335928</v>
      </c>
    </row>
    <row r="18" ht="20.05" customHeight="1">
      <c r="B18" s="31"/>
      <c r="C18" s="13">
        <v>283.711</v>
      </c>
      <c r="D18" s="22"/>
      <c r="E18" s="14">
        <f>40.1-SUM(E16:E17)</f>
        <v>14.1</v>
      </c>
      <c r="F18" s="14">
        <v>30.082</v>
      </c>
      <c r="G18" s="16">
        <f>C18/C17-1</f>
        <v>0.0567186749254143</v>
      </c>
      <c r="H18" s="16">
        <f>(E18+F18-C18)/C18</f>
        <v>-0.844271106865789</v>
      </c>
      <c r="I18" s="12">
        <f>('Cashflow '!D18-'Cashflow '!C18)/'Cashflow '!C18</f>
        <v>-0.791979341311595</v>
      </c>
    </row>
    <row r="19" ht="20.05" customHeight="1">
      <c r="B19" s="31"/>
      <c r="C19" s="13">
        <v>312.985</v>
      </c>
      <c r="D19" s="22"/>
      <c r="E19" s="14">
        <f>56.9-SUM(E16:E18)</f>
        <v>16.8</v>
      </c>
      <c r="F19" s="14">
        <v>36.736</v>
      </c>
      <c r="G19" s="16">
        <f>C19/C18-1</f>
        <v>0.103182463845251</v>
      </c>
      <c r="H19" s="16">
        <f>(E19+F19-C19)/C19</f>
        <v>-0.828950269182229</v>
      </c>
      <c r="I19" s="12">
        <f>('Cashflow '!D19-'Cashflow '!C19)/'Cashflow '!C19</f>
        <v>-0.779094164422067</v>
      </c>
    </row>
    <row r="20" ht="20.05" customHeight="1">
      <c r="B20" s="32">
        <v>2020</v>
      </c>
      <c r="C20" s="13">
        <v>271.527</v>
      </c>
      <c r="D20" s="22"/>
      <c r="E20" s="14">
        <v>18.5</v>
      </c>
      <c r="F20" s="14">
        <v>35.458</v>
      </c>
      <c r="G20" s="16">
        <f>C20/C19-1</f>
        <v>-0.132460022045785</v>
      </c>
      <c r="H20" s="16">
        <f>(E20+F20-C20)/C20</f>
        <v>-0.80127943077484</v>
      </c>
      <c r="I20" s="12">
        <f>('Cashflow '!D20-'Cashflow '!C20)/'Cashflow '!C20</f>
        <v>-0.848214895992345</v>
      </c>
    </row>
    <row r="21" ht="20.05" customHeight="1">
      <c r="B21" s="31"/>
      <c r="C21" s="13">
        <v>222.413</v>
      </c>
      <c r="D21" s="22"/>
      <c r="E21" s="14">
        <f>38.3-E20</f>
        <v>19.8</v>
      </c>
      <c r="F21" s="14">
        <v>29.244</v>
      </c>
      <c r="G21" s="16">
        <f>C21/C20-1</f>
        <v>-0.18088072272739</v>
      </c>
      <c r="H21" s="16">
        <f>(E21+F21-C21)/C21</f>
        <v>-0.779491306713187</v>
      </c>
      <c r="I21" s="12">
        <f>('Cashflow '!D21-'Cashflow '!C21)/'Cashflow '!C21</f>
        <v>-0.86495028871619</v>
      </c>
    </row>
    <row r="22" ht="20.05" customHeight="1">
      <c r="B22" s="31"/>
      <c r="C22" s="13">
        <f>719.793-SUM(C20:C21)</f>
        <v>225.853</v>
      </c>
      <c r="D22" s="14">
        <v>255.77495</v>
      </c>
      <c r="E22" s="14">
        <f>59.485-SUM(E20:E21)</f>
        <v>21.185</v>
      </c>
      <c r="F22" s="14">
        <f>94.281-SUM(F20:F21)</f>
        <v>29.579</v>
      </c>
      <c r="G22" s="16">
        <f>C22/C21-1</f>
        <v>0.0154667218193181</v>
      </c>
      <c r="H22" s="16">
        <f>(E22+F22-C22)/C22</f>
        <v>-0.775234333836611</v>
      </c>
      <c r="I22" s="12">
        <f>('Cashflow '!D22-'Cashflow '!C22)/'Cashflow '!C22</f>
        <v>-0.659710025291555</v>
      </c>
    </row>
    <row r="23" ht="20.05" customHeight="1">
      <c r="B23" s="31"/>
      <c r="C23" s="13">
        <f>972.6-SUM(C20:C22)</f>
        <v>252.807</v>
      </c>
      <c r="D23" s="14">
        <v>260.39121</v>
      </c>
      <c r="E23" s="14">
        <f>81-SUM(E20:E22)</f>
        <v>21.515</v>
      </c>
      <c r="F23" s="14">
        <f>132.8-SUM(F20:F22)</f>
        <v>38.519</v>
      </c>
      <c r="G23" s="16">
        <f>C23/C22-1</f>
        <v>0.119343112555512</v>
      </c>
      <c r="H23" s="16">
        <f>(E23+F23-C23)/C23</f>
        <v>-0.762530309682881</v>
      </c>
      <c r="I23" s="12">
        <f>('Cashflow '!D23-'Cashflow '!C23)/'Cashflow '!C23</f>
        <v>-0.698734518039849</v>
      </c>
    </row>
    <row r="24" ht="20.05" customHeight="1">
      <c r="B24" s="32">
        <v>2021</v>
      </c>
      <c r="C24" s="20">
        <v>237</v>
      </c>
      <c r="D24" s="14">
        <v>260.39121</v>
      </c>
      <c r="E24" s="21">
        <v>22</v>
      </c>
      <c r="F24" s="14">
        <v>42</v>
      </c>
      <c r="G24" s="16">
        <f>C24/C23-1</f>
        <v>-0.0625259585375405</v>
      </c>
      <c r="H24" s="16">
        <f>(E24+F24-C24)/C24</f>
        <v>-0.729957805907173</v>
      </c>
      <c r="I24" s="12">
        <f>('Cashflow '!D24-'Cashflow '!C24)/'Cashflow '!C24</f>
        <v>-0.705627705627706</v>
      </c>
    </row>
    <row r="25" ht="20.05" customHeight="1">
      <c r="B25" s="31"/>
      <c r="C25" s="13">
        <f>529.3-C24</f>
        <v>292.3</v>
      </c>
      <c r="D25" s="14">
        <v>284.4</v>
      </c>
      <c r="E25" s="14">
        <f>44.1+0.3-E24</f>
        <v>22.4</v>
      </c>
      <c r="F25" s="14">
        <f>91.8-F24</f>
        <v>49.8</v>
      </c>
      <c r="G25" s="16">
        <f>C25/C24-1</f>
        <v>0.233333333333333</v>
      </c>
      <c r="H25" s="16">
        <f>(E25+F25-C25)/C25</f>
        <v>-0.752993499828943</v>
      </c>
      <c r="I25" s="12">
        <f>('Cashflow '!D25-'Cashflow '!C25)/'Cashflow '!C25</f>
        <v>-0.692612510614209</v>
      </c>
    </row>
    <row r="26" ht="20.05" customHeight="1">
      <c r="B26" s="31"/>
      <c r="C26" s="13">
        <f>802.9-SUM(C24:C25)</f>
        <v>273.6</v>
      </c>
      <c r="D26" s="14">
        <v>298.146</v>
      </c>
      <c r="E26" s="14">
        <f>66.5-SUM(E24:E25)</f>
        <v>22.1</v>
      </c>
      <c r="F26" s="14">
        <f>136.6-SUM(F24:F25)</f>
        <v>44.8</v>
      </c>
      <c r="G26" s="16">
        <f>C26/C25-1</f>
        <v>-0.06397536777283611</v>
      </c>
      <c r="H26" s="16">
        <f>(E26+F26-C26)/C26</f>
        <v>-0.755482456140351</v>
      </c>
      <c r="I26" s="12">
        <f>('Cashflow '!D26-'Cashflow '!C26)/'Cashflow '!C26</f>
        <v>-0.93337797120857</v>
      </c>
    </row>
    <row r="27" ht="20.05" customHeight="1">
      <c r="B27" s="31"/>
      <c r="C27" s="13"/>
      <c r="D27" s="14">
        <f>'Model'!C6</f>
        <v>306.432</v>
      </c>
      <c r="E27" s="14"/>
      <c r="F27" s="14"/>
      <c r="G27" s="12"/>
      <c r="H27" s="12">
        <f>'Model'!C7</f>
        <v>-0.755482456140351</v>
      </c>
      <c r="I27" s="12"/>
    </row>
    <row r="28" ht="20.05" customHeight="1">
      <c r="B28" s="32">
        <v>2022</v>
      </c>
      <c r="C28" s="13"/>
      <c r="D28" s="14">
        <f>'Model'!D6</f>
        <v>291.1104</v>
      </c>
      <c r="E28" s="14"/>
      <c r="F28" s="14"/>
      <c r="G28" s="12"/>
      <c r="H28" s="12"/>
      <c r="I28" s="12"/>
    </row>
    <row r="29" ht="20.05" customHeight="1">
      <c r="B29" s="31"/>
      <c r="C29" s="13"/>
      <c r="D29" s="14">
        <f>'Model'!E6</f>
        <v>311.488128</v>
      </c>
      <c r="E29" s="14"/>
      <c r="F29" s="14"/>
      <c r="G29" s="12"/>
      <c r="H29" s="12"/>
      <c r="I29" s="12"/>
    </row>
    <row r="30" ht="20.05" customHeight="1">
      <c r="B30" s="31"/>
      <c r="C30" s="13"/>
      <c r="D30" s="21">
        <f>'Model'!F6</f>
        <v>333.29229696</v>
      </c>
      <c r="E30" s="21"/>
      <c r="F30" s="21"/>
      <c r="G30" s="12"/>
      <c r="H30" s="12"/>
      <c r="I30" s="12"/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3" customWidth="1"/>
    <col min="2" max="2" width="8.33594" style="33" customWidth="1"/>
    <col min="3" max="11" width="11.0469" style="33" customWidth="1"/>
    <col min="12" max="16384" width="16.3516" style="33" customWidth="1"/>
  </cols>
  <sheetData>
    <row r="1" ht="36.4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46</v>
      </c>
      <c r="D3" t="s" s="4">
        <v>8</v>
      </c>
      <c r="E3" t="s" s="4">
        <v>47</v>
      </c>
      <c r="F3" t="s" s="4">
        <v>48</v>
      </c>
      <c r="G3" t="s" s="4">
        <v>11</v>
      </c>
      <c r="H3" t="s" s="4">
        <v>10</v>
      </c>
      <c r="I3" t="s" s="4">
        <v>49</v>
      </c>
      <c r="J3" t="s" s="4">
        <v>3</v>
      </c>
      <c r="K3" t="s" s="4">
        <v>50</v>
      </c>
    </row>
    <row r="4" ht="20.25" customHeight="1">
      <c r="B4" s="27">
        <v>2016</v>
      </c>
      <c r="C4" s="34">
        <v>126.941</v>
      </c>
      <c r="D4" s="35">
        <v>26.609</v>
      </c>
      <c r="E4" s="35"/>
      <c r="F4" s="35">
        <v>-33.5335</v>
      </c>
      <c r="G4" s="35">
        <v>9.5555</v>
      </c>
      <c r="H4" s="35">
        <v>0</v>
      </c>
      <c r="I4" s="35">
        <f>D4+F4+H4</f>
        <v>-6.9245</v>
      </c>
      <c r="J4" s="35"/>
      <c r="K4" s="35">
        <f>-(G4-H4)</f>
        <v>-9.5555</v>
      </c>
    </row>
    <row r="5" ht="20.05" customHeight="1">
      <c r="B5" s="31"/>
      <c r="C5" s="17">
        <v>126.941</v>
      </c>
      <c r="D5" s="18">
        <v>26.609</v>
      </c>
      <c r="E5" s="18"/>
      <c r="F5" s="18">
        <v>-33.5335</v>
      </c>
      <c r="G5" s="18">
        <v>9.5555</v>
      </c>
      <c r="H5" s="18">
        <v>0</v>
      </c>
      <c r="I5" s="18">
        <f>D5+F5+H5</f>
        <v>-6.9245</v>
      </c>
      <c r="J5" s="18"/>
      <c r="K5" s="18">
        <f>-(G5-H5)+K4</f>
        <v>-19.111</v>
      </c>
    </row>
    <row r="6" ht="20.05" customHeight="1">
      <c r="B6" s="31"/>
      <c r="C6" s="17">
        <v>136.344</v>
      </c>
      <c r="D6" s="18">
        <v>46.408</v>
      </c>
      <c r="E6" s="18"/>
      <c r="F6" s="18">
        <v>-55.476</v>
      </c>
      <c r="G6" s="18">
        <v>3.611</v>
      </c>
      <c r="H6" s="18">
        <v>0</v>
      </c>
      <c r="I6" s="18">
        <f>D6+F6+H6</f>
        <v>-9.068</v>
      </c>
      <c r="J6" s="18"/>
      <c r="K6" s="18">
        <f>-(G6-H6)+K5</f>
        <v>-22.722</v>
      </c>
    </row>
    <row r="7" ht="20.05" customHeight="1">
      <c r="B7" s="31"/>
      <c r="C7" s="17">
        <v>134.451</v>
      </c>
      <c r="D7" s="18">
        <v>2.268</v>
      </c>
      <c r="E7" s="18"/>
      <c r="F7" s="18">
        <v>-35.553</v>
      </c>
      <c r="G7" s="18">
        <v>32.724</v>
      </c>
      <c r="H7" s="18">
        <v>0</v>
      </c>
      <c r="I7" s="18">
        <f>D7+F7+H7</f>
        <v>-33.285</v>
      </c>
      <c r="J7" s="18"/>
      <c r="K7" s="18">
        <f>-(G7-H7)+K6</f>
        <v>-55.446</v>
      </c>
    </row>
    <row r="8" ht="20.05" customHeight="1">
      <c r="B8" s="32">
        <v>2017</v>
      </c>
      <c r="C8" s="17">
        <v>139.618</v>
      </c>
      <c r="D8" s="18">
        <v>30.015</v>
      </c>
      <c r="E8" s="18">
        <v>-18.3</v>
      </c>
      <c r="F8" s="18">
        <v>-18.597</v>
      </c>
      <c r="G8" s="18">
        <v>-11.34</v>
      </c>
      <c r="H8" s="18">
        <v>0</v>
      </c>
      <c r="I8" s="18">
        <f>D8+F8+H8</f>
        <v>11.418</v>
      </c>
      <c r="J8" s="18">
        <f>AVERAGE(I5:I8)</f>
        <v>-9.464874999999999</v>
      </c>
      <c r="K8" s="18">
        <f>-(G8-H8)+K7</f>
        <v>-44.106</v>
      </c>
    </row>
    <row r="9" ht="20.05" customHeight="1">
      <c r="B9" s="31"/>
      <c r="C9" s="17">
        <v>139.609</v>
      </c>
      <c r="D9" s="18">
        <v>6.982</v>
      </c>
      <c r="E9" s="18">
        <v>-32.1</v>
      </c>
      <c r="F9" s="18">
        <v>-58.4</v>
      </c>
      <c r="G9" s="18">
        <v>58.029</v>
      </c>
      <c r="H9" s="18">
        <v>0</v>
      </c>
      <c r="I9" s="18">
        <f>D9+F9+H9</f>
        <v>-51.418</v>
      </c>
      <c r="J9" s="18">
        <f>AVERAGE(I6:I9)</f>
        <v>-20.58825</v>
      </c>
      <c r="K9" s="18">
        <f>-(G9-H9)+K8</f>
        <v>-102.135</v>
      </c>
    </row>
    <row r="10" ht="20.05" customHeight="1">
      <c r="B10" s="31"/>
      <c r="C10" s="17">
        <v>157.459</v>
      </c>
      <c r="D10" s="18">
        <v>43.075</v>
      </c>
      <c r="E10" s="18">
        <v>-52.7</v>
      </c>
      <c r="F10" s="18">
        <v>-83.893</v>
      </c>
      <c r="G10" s="18">
        <v>40.329</v>
      </c>
      <c r="H10" s="18">
        <v>0</v>
      </c>
      <c r="I10" s="18">
        <f>D10+F10+H10</f>
        <v>-40.818</v>
      </c>
      <c r="J10" s="18">
        <f>AVERAGE(I7:I10)</f>
        <v>-28.52575</v>
      </c>
      <c r="K10" s="18">
        <f>-(G10-H10)+K9</f>
        <v>-142.464</v>
      </c>
    </row>
    <row r="11" ht="20.05" customHeight="1">
      <c r="B11" s="31"/>
      <c r="C11" s="17">
        <v>159.241</v>
      </c>
      <c r="D11" s="18">
        <v>-1.586</v>
      </c>
      <c r="E11" s="18">
        <v>-28.8</v>
      </c>
      <c r="F11" s="18">
        <v>-35.911</v>
      </c>
      <c r="G11" s="18">
        <v>33.313</v>
      </c>
      <c r="H11" s="18">
        <v>0</v>
      </c>
      <c r="I11" s="18">
        <f>D11+F11+H11</f>
        <v>-37.497</v>
      </c>
      <c r="J11" s="18">
        <f>AVERAGE(I8:I11)</f>
        <v>-29.57875</v>
      </c>
      <c r="K11" s="18">
        <f>-(G11-H11)+K10</f>
        <v>-175.777</v>
      </c>
    </row>
    <row r="12" ht="20.05" customHeight="1">
      <c r="B12" s="32">
        <v>2018</v>
      </c>
      <c r="C12" s="17">
        <v>163.53</v>
      </c>
      <c r="D12" s="18">
        <v>35.016</v>
      </c>
      <c r="E12" s="18">
        <v>-81.2</v>
      </c>
      <c r="F12" s="18">
        <v>-20.251</v>
      </c>
      <c r="G12" s="18">
        <v>-14.55</v>
      </c>
      <c r="H12" s="18">
        <v>0</v>
      </c>
      <c r="I12" s="18">
        <f>D12+F12+H12</f>
        <v>14.765</v>
      </c>
      <c r="J12" s="18">
        <f>AVERAGE(I9:I12)</f>
        <v>-28.742</v>
      </c>
      <c r="K12" s="18">
        <f>-(G12-H12)+K11</f>
        <v>-161.227</v>
      </c>
    </row>
    <row r="13" ht="20.05" customHeight="1">
      <c r="B13" s="31"/>
      <c r="C13" s="17">
        <v>196.563</v>
      </c>
      <c r="D13" s="18">
        <v>29.168</v>
      </c>
      <c r="E13" s="18">
        <v>-24</v>
      </c>
      <c r="F13" s="18">
        <v>-38.98</v>
      </c>
      <c r="G13" s="18">
        <v>9.663</v>
      </c>
      <c r="H13" s="18">
        <v>0</v>
      </c>
      <c r="I13" s="18">
        <f>D13+F13+H13</f>
        <v>-9.811999999999999</v>
      </c>
      <c r="J13" s="18">
        <f>AVERAGE(I10:I13)</f>
        <v>-18.3405</v>
      </c>
      <c r="K13" s="18">
        <f>-(G13-H13)+K12</f>
        <v>-170.89</v>
      </c>
    </row>
    <row r="14" ht="20.05" customHeight="1">
      <c r="B14" s="31"/>
      <c r="C14" s="17">
        <v>234.738</v>
      </c>
      <c r="D14" s="18">
        <v>42.123</v>
      </c>
      <c r="E14" s="18">
        <v>-46.8</v>
      </c>
      <c r="F14" s="18">
        <v>-54.476</v>
      </c>
      <c r="G14" s="18">
        <v>11.004</v>
      </c>
      <c r="H14" s="18">
        <v>0</v>
      </c>
      <c r="I14" s="18">
        <f>D14+F14+H14</f>
        <v>-12.353</v>
      </c>
      <c r="J14" s="18">
        <f>AVERAGE(I11:I14)</f>
        <v>-11.22425</v>
      </c>
      <c r="K14" s="18">
        <f>-(G14-H14)+K13</f>
        <v>-181.894</v>
      </c>
    </row>
    <row r="15" ht="20.05" customHeight="1">
      <c r="B15" s="31"/>
      <c r="C15" s="17">
        <v>221.191</v>
      </c>
      <c r="D15" s="18">
        <v>25.532</v>
      </c>
      <c r="E15" s="18">
        <v>-57.8</v>
      </c>
      <c r="F15" s="18">
        <v>-64.922</v>
      </c>
      <c r="G15" s="18">
        <v>40.926</v>
      </c>
      <c r="H15" s="18">
        <v>-0.906</v>
      </c>
      <c r="I15" s="18">
        <f>D15+F15+H15</f>
        <v>-40.296</v>
      </c>
      <c r="J15" s="18">
        <f>AVERAGE(I12:I15)</f>
        <v>-11.924</v>
      </c>
      <c r="K15" s="18">
        <f>-(G15-H15)+K14</f>
        <v>-223.726</v>
      </c>
    </row>
    <row r="16" ht="20.05" customHeight="1">
      <c r="B16" s="32">
        <v>2019</v>
      </c>
      <c r="C16" s="17">
        <v>206.829</v>
      </c>
      <c r="D16" s="18">
        <v>49.089</v>
      </c>
      <c r="E16" s="18">
        <v>-110.5</v>
      </c>
      <c r="F16" s="18">
        <v>-93.38</v>
      </c>
      <c r="G16" s="18">
        <v>58.208</v>
      </c>
      <c r="H16" s="18">
        <v>-0.332</v>
      </c>
      <c r="I16" s="18">
        <f>D16+F16+H16</f>
        <v>-44.623</v>
      </c>
      <c r="J16" s="18">
        <f>AVERAGE(I13:I16)</f>
        <v>-26.771</v>
      </c>
      <c r="K16" s="18">
        <f>-(G16-H16)+K15</f>
        <v>-282.266</v>
      </c>
    </row>
    <row r="17" ht="20.05" customHeight="1">
      <c r="B17" s="31"/>
      <c r="C17" s="17">
        <v>244.648</v>
      </c>
      <c r="D17" s="18">
        <v>17.909</v>
      </c>
      <c r="E17" s="18">
        <v>-62.1</v>
      </c>
      <c r="F17" s="18">
        <v>-89.098</v>
      </c>
      <c r="G17" s="18">
        <v>70.367</v>
      </c>
      <c r="H17" s="18">
        <v>-1.066</v>
      </c>
      <c r="I17" s="18">
        <f>D17+F17+H17</f>
        <v>-72.255</v>
      </c>
      <c r="J17" s="18">
        <f>AVERAGE(I14:I17)</f>
        <v>-42.38175</v>
      </c>
      <c r="K17" s="18">
        <f>-(G17-H17)+K16</f>
        <v>-353.699</v>
      </c>
    </row>
    <row r="18" ht="20.05" customHeight="1">
      <c r="B18" s="31"/>
      <c r="C18" s="17">
        <v>259.455</v>
      </c>
      <c r="D18" s="18">
        <v>53.972</v>
      </c>
      <c r="E18" s="18">
        <v>-154.1</v>
      </c>
      <c r="F18" s="18">
        <v>-154.964</v>
      </c>
      <c r="G18" s="18">
        <v>61.195</v>
      </c>
      <c r="H18" s="18">
        <v>-0.6919999999999999</v>
      </c>
      <c r="I18" s="18">
        <f>D18+F18+H18</f>
        <v>-101.684</v>
      </c>
      <c r="J18" s="18">
        <f>AVERAGE(I15:I18)</f>
        <v>-64.7145</v>
      </c>
      <c r="K18" s="18">
        <f>-(G18-H18)+K17</f>
        <v>-415.586</v>
      </c>
    </row>
    <row r="19" ht="20.05" customHeight="1">
      <c r="B19" s="31"/>
      <c r="C19" s="17">
        <v>349.357</v>
      </c>
      <c r="D19" s="18">
        <v>77.175</v>
      </c>
      <c r="E19" s="18">
        <v>-143.9</v>
      </c>
      <c r="F19" s="18">
        <v>-84.78700000000001</v>
      </c>
      <c r="G19" s="18">
        <v>38.855</v>
      </c>
      <c r="H19" s="18">
        <v>-0.956</v>
      </c>
      <c r="I19" s="18">
        <f>D19+F19+H19</f>
        <v>-8.568</v>
      </c>
      <c r="J19" s="18">
        <f>AVERAGE(I16:I19)</f>
        <v>-56.7825</v>
      </c>
      <c r="K19" s="18">
        <f>-(G19-H19)+K18</f>
        <v>-455.397</v>
      </c>
    </row>
    <row r="20" ht="20.05" customHeight="1">
      <c r="B20" s="32">
        <v>2020</v>
      </c>
      <c r="C20" s="17">
        <v>263.346</v>
      </c>
      <c r="D20" s="18">
        <v>39.972</v>
      </c>
      <c r="E20" s="18">
        <v>-46</v>
      </c>
      <c r="F20" s="18">
        <v>-50.517</v>
      </c>
      <c r="G20" s="18">
        <v>27.076</v>
      </c>
      <c r="H20" s="18">
        <v>-0.975</v>
      </c>
      <c r="I20" s="18">
        <f>D20+F20+H20</f>
        <v>-11.52</v>
      </c>
      <c r="J20" s="18">
        <f>AVERAGE(I17:I20)</f>
        <v>-48.50675</v>
      </c>
      <c r="K20" s="18">
        <f>-(G20-H20)+K19</f>
        <v>-483.448</v>
      </c>
    </row>
    <row r="21" ht="20.05" customHeight="1">
      <c r="B21" s="31"/>
      <c r="C21" s="17">
        <v>230.33</v>
      </c>
      <c r="D21" s="18">
        <v>31.106</v>
      </c>
      <c r="E21" s="18">
        <v>-66.7</v>
      </c>
      <c r="F21" s="18">
        <v>-72.816</v>
      </c>
      <c r="G21" s="18">
        <v>36.344</v>
      </c>
      <c r="H21" s="18">
        <v>-1.059</v>
      </c>
      <c r="I21" s="18">
        <f>D21+F21+H21</f>
        <v>-42.769</v>
      </c>
      <c r="J21" s="18">
        <f>AVERAGE(I18:I21)</f>
        <v>-41.13525</v>
      </c>
      <c r="K21" s="18">
        <f>-(G21-H21)+K20</f>
        <v>-520.851</v>
      </c>
    </row>
    <row r="22" ht="20.05" customHeight="1">
      <c r="B22" s="31"/>
      <c r="C22" s="17">
        <f>721.42-SUM(C20:C21)</f>
        <v>227.744</v>
      </c>
      <c r="D22" s="18">
        <f>148.577-SUM(D20:D21)</f>
        <v>77.499</v>
      </c>
      <c r="E22" s="18">
        <v>-31.8</v>
      </c>
      <c r="F22" s="18">
        <f>-153.671-SUM(F20:F21)</f>
        <v>-30.338</v>
      </c>
      <c r="G22" s="18">
        <f>11.952-SUM(G20:G21)</f>
        <v>-51.468</v>
      </c>
      <c r="H22" s="18">
        <v>-1.101</v>
      </c>
      <c r="I22" s="18">
        <f>D22+F22+H22</f>
        <v>46.06</v>
      </c>
      <c r="J22" s="18">
        <f>AVERAGE(I19:I22)</f>
        <v>-4.19925</v>
      </c>
      <c r="K22" s="18">
        <f>-(G22-H22)+K21</f>
        <v>-470.484</v>
      </c>
    </row>
    <row r="23" ht="20.05" customHeight="1">
      <c r="B23" s="31"/>
      <c r="C23" s="17">
        <f>981.4-SUM(C20:C22)</f>
        <v>259.98</v>
      </c>
      <c r="D23" s="18">
        <f>226.9-SUM(D20:D22)</f>
        <v>78.32299999999999</v>
      </c>
      <c r="E23" s="18">
        <v>-46</v>
      </c>
      <c r="F23" s="18">
        <f>-171.1-SUM(F20:F22)</f>
        <v>-17.429</v>
      </c>
      <c r="G23" s="18">
        <f>-39.3-SUM(G20:G22)</f>
        <v>-51.252</v>
      </c>
      <c r="H23" s="18">
        <f>-4.3-1-SUM(H20:H22)</f>
        <v>-2.165</v>
      </c>
      <c r="I23" s="18">
        <f>D23+F23+H23</f>
        <v>58.729</v>
      </c>
      <c r="J23" s="18">
        <f>AVERAGE(I20:I23)</f>
        <v>12.625</v>
      </c>
      <c r="K23" s="18">
        <f>-(G23-H23)+K22</f>
        <v>-421.397</v>
      </c>
    </row>
    <row r="24" ht="20.05" customHeight="1">
      <c r="B24" s="32">
        <v>2021</v>
      </c>
      <c r="C24" s="17">
        <v>231</v>
      </c>
      <c r="D24" s="18">
        <v>68</v>
      </c>
      <c r="E24" s="18">
        <v>-27</v>
      </c>
      <c r="F24" s="18">
        <v>-21</v>
      </c>
      <c r="G24" s="18">
        <v>-13</v>
      </c>
      <c r="H24" s="18">
        <v>-1</v>
      </c>
      <c r="I24" s="18">
        <f>D24+F24+H24</f>
        <v>46</v>
      </c>
      <c r="J24" s="18">
        <f>AVERAGE(I21:I24)</f>
        <v>27.005</v>
      </c>
      <c r="K24" s="18">
        <f>-(G24-H24)+K23</f>
        <v>-409.397</v>
      </c>
    </row>
    <row r="25" ht="20.05" customHeight="1">
      <c r="B25" s="31"/>
      <c r="C25" s="17">
        <f>584.3-C24</f>
        <v>353.3</v>
      </c>
      <c r="D25" s="18">
        <f>176.6-D24</f>
        <v>108.6</v>
      </c>
      <c r="E25" s="18">
        <v>-54.2</v>
      </c>
      <c r="F25" s="18">
        <f>-51.7-F24</f>
        <v>-30.7</v>
      </c>
      <c r="G25" s="18">
        <f>-56.9-G24</f>
        <v>-43.9</v>
      </c>
      <c r="H25" s="18">
        <f>-0.6-2.3-H24</f>
        <v>-1.9</v>
      </c>
      <c r="I25" s="18">
        <f>D25+F25+H25</f>
        <v>76</v>
      </c>
      <c r="J25" s="18">
        <f>AVERAGE(I22:I25)</f>
        <v>56.69725</v>
      </c>
      <c r="K25" s="18">
        <f>-(G25-H25)+K24</f>
        <v>-367.397</v>
      </c>
    </row>
    <row r="26" ht="20.05" customHeight="1">
      <c r="B26" s="31"/>
      <c r="C26" s="17">
        <f>883-SUM(C24:C25)</f>
        <v>298.7</v>
      </c>
      <c r="D26" s="18">
        <f>196.5-SUM(D24:D25)</f>
        <v>19.9</v>
      </c>
      <c r="E26" s="18">
        <v>-39.7</v>
      </c>
      <c r="F26" s="18">
        <f>-61.7-SUM(F24:F25)</f>
        <v>-10</v>
      </c>
      <c r="G26" s="18">
        <f>-142.3-SUM(G24:G25)</f>
        <v>-85.40000000000001</v>
      </c>
      <c r="H26" s="18">
        <f>-2.23-0.72-SUM(H24:H25)</f>
        <v>-0.05</v>
      </c>
      <c r="I26" s="18">
        <f>D26+F26+H26</f>
        <v>9.85</v>
      </c>
      <c r="J26" s="18">
        <f>AVERAGE(I23:I26)</f>
        <v>47.64475</v>
      </c>
      <c r="K26" s="18">
        <f>-(G26-H26)+K25</f>
        <v>-282.047</v>
      </c>
    </row>
    <row r="27" ht="20.05" customHeight="1">
      <c r="B27" s="31"/>
      <c r="C27" s="17"/>
      <c r="D27" s="18"/>
      <c r="E27" s="18"/>
      <c r="F27" s="18"/>
      <c r="G27" s="18"/>
      <c r="H27" s="18"/>
      <c r="I27" s="18"/>
      <c r="J27" s="18">
        <f>SUM('Model'!F9:F11)</f>
        <v>71.44581384</v>
      </c>
      <c r="K27" s="18">
        <f>'Model'!F33</f>
        <v>-198.1369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2031" style="36" customWidth="1"/>
    <col min="2" max="2" width="8.58594" style="36" customWidth="1"/>
    <col min="3" max="10" width="9.39062" style="36" customWidth="1"/>
    <col min="11" max="16384" width="16.3516" style="36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51</v>
      </c>
      <c r="C3" t="s" s="4">
        <v>52</v>
      </c>
      <c r="D3" t="s" s="4">
        <v>53</v>
      </c>
      <c r="E3" t="s" s="4">
        <v>22</v>
      </c>
      <c r="F3" t="s" s="4">
        <v>23</v>
      </c>
      <c r="G3" t="s" s="4">
        <v>12</v>
      </c>
      <c r="H3" t="s" s="4">
        <v>13</v>
      </c>
      <c r="I3" t="s" s="4">
        <v>26</v>
      </c>
      <c r="J3" t="s" s="4">
        <v>34</v>
      </c>
    </row>
    <row r="4" ht="20.25" customHeight="1">
      <c r="B4" s="27">
        <v>2017</v>
      </c>
      <c r="C4" s="34"/>
      <c r="D4" s="35"/>
      <c r="E4" s="35">
        <f>D4-C4</f>
        <v>0</v>
      </c>
      <c r="F4" s="37"/>
      <c r="G4" s="37"/>
      <c r="H4" s="37"/>
      <c r="I4" s="37"/>
      <c r="J4" s="35"/>
    </row>
    <row r="5" ht="20.05" customHeight="1">
      <c r="B5" s="31"/>
      <c r="C5" s="17">
        <v>48</v>
      </c>
      <c r="D5" s="18">
        <v>581</v>
      </c>
      <c r="E5" s="18">
        <f>D5-C5</f>
        <v>533</v>
      </c>
      <c r="F5" s="21">
        <f t="shared" si="2" ref="F5:F8">2+198</f>
        <v>200</v>
      </c>
      <c r="G5" s="18">
        <v>316</v>
      </c>
      <c r="H5" s="18">
        <v>265</v>
      </c>
      <c r="I5" s="18">
        <f>C5-G5</f>
        <v>-268</v>
      </c>
      <c r="J5" s="18"/>
    </row>
    <row r="6" ht="20.05" customHeight="1">
      <c r="B6" s="31"/>
      <c r="C6" s="17">
        <v>7</v>
      </c>
      <c r="D6" s="18">
        <v>628</v>
      </c>
      <c r="E6" s="18">
        <f>D6-C6</f>
        <v>621</v>
      </c>
      <c r="F6" s="21">
        <f>2+216</f>
        <v>218</v>
      </c>
      <c r="G6" s="18">
        <v>342</v>
      </c>
      <c r="H6" s="18">
        <v>286</v>
      </c>
      <c r="I6" s="18">
        <f>C6-G6</f>
        <v>-335</v>
      </c>
      <c r="J6" s="18"/>
    </row>
    <row r="7" ht="20.05" customHeight="1">
      <c r="B7" s="31"/>
      <c r="C7" s="17">
        <v>3</v>
      </c>
      <c r="D7" s="18">
        <v>661</v>
      </c>
      <c r="E7" s="18">
        <f>D7-C7</f>
        <v>658</v>
      </c>
      <c r="F7" s="21">
        <f>2+229</f>
        <v>231</v>
      </c>
      <c r="G7" s="18">
        <v>363</v>
      </c>
      <c r="H7" s="18">
        <v>298</v>
      </c>
      <c r="I7" s="18">
        <f>C7-G7</f>
        <v>-360</v>
      </c>
      <c r="J7" s="18"/>
    </row>
    <row r="8" ht="20.05" customHeight="1">
      <c r="B8" s="32">
        <v>2018</v>
      </c>
      <c r="C8" s="17">
        <v>3</v>
      </c>
      <c r="D8" s="18">
        <v>671</v>
      </c>
      <c r="E8" s="18">
        <f>D8-C8</f>
        <v>668</v>
      </c>
      <c r="F8" s="21">
        <f t="shared" si="2"/>
        <v>200</v>
      </c>
      <c r="G8" s="18">
        <v>361</v>
      </c>
      <c r="H8" s="18">
        <v>310</v>
      </c>
      <c r="I8" s="18">
        <f>C8-G8</f>
        <v>-358</v>
      </c>
      <c r="J8" s="18"/>
    </row>
    <row r="9" ht="20.05" customHeight="1">
      <c r="B9" s="31"/>
      <c r="C9" s="17">
        <v>3</v>
      </c>
      <c r="D9" s="18">
        <v>730</v>
      </c>
      <c r="E9" s="18">
        <f>D9-C9</f>
        <v>727</v>
      </c>
      <c r="F9" s="21">
        <f>3+254</f>
        <v>257</v>
      </c>
      <c r="G9" s="18">
        <v>404</v>
      </c>
      <c r="H9" s="18">
        <v>326</v>
      </c>
      <c r="I9" s="18">
        <f>C9-G9</f>
        <v>-401</v>
      </c>
      <c r="J9" s="18"/>
    </row>
    <row r="10" ht="20.05" customHeight="1">
      <c r="B10" s="31"/>
      <c r="C10" s="17">
        <v>2</v>
      </c>
      <c r="D10" s="18">
        <v>788</v>
      </c>
      <c r="E10" s="18">
        <f>D10-C10</f>
        <v>786</v>
      </c>
      <c r="F10" s="21">
        <f>3+269</f>
        <v>272</v>
      </c>
      <c r="G10" s="18">
        <v>443</v>
      </c>
      <c r="H10" s="18">
        <v>345</v>
      </c>
      <c r="I10" s="18">
        <f>C10-G10</f>
        <v>-441</v>
      </c>
      <c r="J10" s="18"/>
    </row>
    <row r="11" ht="20.05" customHeight="1">
      <c r="B11" s="31"/>
      <c r="C11" s="17">
        <v>3</v>
      </c>
      <c r="D11" s="18">
        <v>833</v>
      </c>
      <c r="E11" s="18">
        <f>D11-C11</f>
        <v>830</v>
      </c>
      <c r="F11" s="21">
        <f>3+280</f>
        <v>283</v>
      </c>
      <c r="G11" s="18">
        <v>198</v>
      </c>
      <c r="H11" s="18">
        <v>635</v>
      </c>
      <c r="I11" s="18">
        <f>C11-G11</f>
        <v>-195</v>
      </c>
      <c r="J11" s="18"/>
    </row>
    <row r="12" ht="20.05" customHeight="1">
      <c r="B12" s="32">
        <v>2019</v>
      </c>
      <c r="C12" s="17">
        <v>17</v>
      </c>
      <c r="D12" s="18">
        <v>948</v>
      </c>
      <c r="E12" s="18">
        <f>D12-C12</f>
        <v>931</v>
      </c>
      <c r="F12" s="18">
        <f>3+290</f>
        <v>293</v>
      </c>
      <c r="G12" s="18">
        <v>287</v>
      </c>
      <c r="H12" s="18">
        <v>661</v>
      </c>
      <c r="I12" s="18">
        <f>C12-G12</f>
        <v>-270</v>
      </c>
      <c r="J12" s="18"/>
    </row>
    <row r="13" ht="20.05" customHeight="1">
      <c r="B13" s="31"/>
      <c r="C13" s="17">
        <v>16</v>
      </c>
      <c r="D13" s="18">
        <v>1066</v>
      </c>
      <c r="E13" s="18">
        <f>D13-C13</f>
        <v>1050</v>
      </c>
      <c r="F13" s="18">
        <f>3+300</f>
        <v>303</v>
      </c>
      <c r="G13" s="18">
        <v>367</v>
      </c>
      <c r="H13" s="18">
        <v>699</v>
      </c>
      <c r="I13" s="18">
        <f>C13-G13</f>
        <v>-351</v>
      </c>
      <c r="J13" s="18"/>
    </row>
    <row r="14" ht="20.05" customHeight="1">
      <c r="B14" s="31"/>
      <c r="C14" s="17">
        <v>17</v>
      </c>
      <c r="D14" s="18">
        <v>1218</v>
      </c>
      <c r="E14" s="18">
        <f>D14-C14</f>
        <v>1201</v>
      </c>
      <c r="F14" s="18">
        <f>4+310</f>
        <v>314</v>
      </c>
      <c r="G14" s="18">
        <v>488</v>
      </c>
      <c r="H14" s="18">
        <v>730</v>
      </c>
      <c r="I14" s="18">
        <f>C14-G14</f>
        <v>-471</v>
      </c>
      <c r="J14" s="21"/>
    </row>
    <row r="15" ht="20.05" customHeight="1">
      <c r="B15" s="31"/>
      <c r="C15" s="17">
        <v>7</v>
      </c>
      <c r="D15" s="18">
        <v>1245</v>
      </c>
      <c r="E15" s="18">
        <f>D15-C15</f>
        <v>1238</v>
      </c>
      <c r="F15" s="18">
        <f>4+323</f>
        <v>327</v>
      </c>
      <c r="G15" s="18">
        <v>479</v>
      </c>
      <c r="H15" s="18">
        <v>766</v>
      </c>
      <c r="I15" s="18">
        <f>C15-G15</f>
        <v>-472</v>
      </c>
      <c r="J15" s="21"/>
    </row>
    <row r="16" ht="20.05" customHeight="1">
      <c r="B16" s="32">
        <v>2020</v>
      </c>
      <c r="C16" s="17">
        <v>23</v>
      </c>
      <c r="D16" s="18">
        <v>1326</v>
      </c>
      <c r="E16" s="18">
        <f>D16-C16</f>
        <v>1303</v>
      </c>
      <c r="F16" s="18">
        <f>4+339</f>
        <v>343</v>
      </c>
      <c r="G16" s="18">
        <v>524</v>
      </c>
      <c r="H16" s="18">
        <v>802</v>
      </c>
      <c r="I16" s="18">
        <f>C16-G16</f>
        <v>-501</v>
      </c>
      <c r="J16" s="21"/>
    </row>
    <row r="17" ht="20.05" customHeight="1">
      <c r="B17" s="31"/>
      <c r="C17" s="17">
        <v>18</v>
      </c>
      <c r="D17" s="18">
        <v>1340</v>
      </c>
      <c r="E17" s="18">
        <f>D17-C17</f>
        <v>1322</v>
      </c>
      <c r="F17" s="18">
        <f>4+356</f>
        <v>360</v>
      </c>
      <c r="G17" s="18">
        <v>512</v>
      </c>
      <c r="H17" s="18">
        <v>828</v>
      </c>
      <c r="I17" s="18">
        <f>C17-G17</f>
        <v>-494</v>
      </c>
      <c r="J17" s="21"/>
    </row>
    <row r="18" ht="20.05" customHeight="1">
      <c r="B18" s="31"/>
      <c r="C18" s="17">
        <v>14</v>
      </c>
      <c r="D18" s="18">
        <v>1323</v>
      </c>
      <c r="E18" s="18">
        <f>D18-C18</f>
        <v>1309</v>
      </c>
      <c r="F18" s="21">
        <f>4+373</f>
        <v>377</v>
      </c>
      <c r="G18" s="18">
        <v>465</v>
      </c>
      <c r="H18" s="18">
        <v>858</v>
      </c>
      <c r="I18" s="18">
        <f>C18-G18</f>
        <v>-451</v>
      </c>
      <c r="J18" s="21"/>
    </row>
    <row r="19" ht="20.05" customHeight="1">
      <c r="B19" s="31"/>
      <c r="C19" s="20">
        <v>23</v>
      </c>
      <c r="D19" s="18">
        <v>1311</v>
      </c>
      <c r="E19" s="18">
        <f>D19-C19</f>
        <v>1288</v>
      </c>
      <c r="F19" s="21">
        <f>4+389</f>
        <v>393</v>
      </c>
      <c r="G19" s="18">
        <v>416</v>
      </c>
      <c r="H19" s="18">
        <v>895</v>
      </c>
      <c r="I19" s="18">
        <f>C19-G19</f>
        <v>-393</v>
      </c>
      <c r="J19" s="21"/>
    </row>
    <row r="20" ht="20.05" customHeight="1">
      <c r="B20" s="32">
        <v>2021</v>
      </c>
      <c r="C20" s="20">
        <v>57</v>
      </c>
      <c r="D20" s="18">
        <v>1369</v>
      </c>
      <c r="E20" s="18">
        <f>D20-C20</f>
        <v>1312</v>
      </c>
      <c r="F20" s="21">
        <f>F19+'Sales'!E24</f>
        <v>415</v>
      </c>
      <c r="G20" s="18">
        <v>431</v>
      </c>
      <c r="H20" s="18">
        <v>938</v>
      </c>
      <c r="I20" s="18">
        <f>C20-G20</f>
        <v>-374</v>
      </c>
      <c r="J20" s="18"/>
    </row>
    <row r="21" ht="20.05" customHeight="1">
      <c r="B21" s="31"/>
      <c r="C21" s="20">
        <v>91</v>
      </c>
      <c r="D21" s="18">
        <v>1394</v>
      </c>
      <c r="E21" s="18">
        <f>D21-C21</f>
        <v>1303</v>
      </c>
      <c r="F21" s="21">
        <f>5+420</f>
        <v>425</v>
      </c>
      <c r="G21" s="18">
        <v>436</v>
      </c>
      <c r="H21" s="18">
        <v>958</v>
      </c>
      <c r="I21" s="18">
        <f>C21-G21</f>
        <v>-345</v>
      </c>
      <c r="J21" s="18"/>
    </row>
    <row r="22" ht="20.05" customHeight="1">
      <c r="B22" s="31"/>
      <c r="C22" s="20">
        <v>15</v>
      </c>
      <c r="D22" s="18">
        <v>1355</v>
      </c>
      <c r="E22" s="18">
        <f>D22-C22</f>
        <v>1340</v>
      </c>
      <c r="F22" s="21">
        <f>5+432</f>
        <v>437</v>
      </c>
      <c r="G22" s="18">
        <v>368</v>
      </c>
      <c r="H22" s="18">
        <v>987</v>
      </c>
      <c r="I22" s="18">
        <f>C22-G22</f>
        <v>-353</v>
      </c>
      <c r="J22" s="18">
        <f>I22</f>
        <v>-353</v>
      </c>
    </row>
    <row r="23" ht="20.05" customHeight="1">
      <c r="B23" s="31"/>
      <c r="C23" s="20"/>
      <c r="D23" s="18"/>
      <c r="E23" s="18"/>
      <c r="F23" s="21"/>
      <c r="G23" s="18"/>
      <c r="H23" s="18"/>
      <c r="I23" s="18"/>
      <c r="J23" s="18">
        <f>'Model'!F31</f>
        <v>-153.841191912</v>
      </c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6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85156" style="38" customWidth="1"/>
    <col min="2" max="2" width="9.28125" style="38" customWidth="1"/>
    <col min="3" max="4" width="9.13281" style="38" customWidth="1"/>
    <col min="5" max="16384" width="16.3516" style="38" customWidth="1"/>
  </cols>
  <sheetData>
    <row r="1" ht="50" customHeight="1"/>
    <row r="2" ht="27.65" customHeight="1">
      <c r="B2" t="s" s="2">
        <v>54</v>
      </c>
      <c r="C2" s="2"/>
      <c r="D2" s="2"/>
    </row>
    <row r="3" ht="20.25" customHeight="1">
      <c r="B3" s="5"/>
      <c r="C3" t="s" s="39">
        <v>54</v>
      </c>
      <c r="D3" t="s" s="39">
        <v>37</v>
      </c>
    </row>
    <row r="4" ht="20.25" customHeight="1">
      <c r="B4" s="27">
        <v>2017</v>
      </c>
      <c r="C4" s="40"/>
      <c r="D4" s="35"/>
    </row>
    <row r="5" ht="20.05" customHeight="1">
      <c r="B5" s="31"/>
      <c r="C5" s="41"/>
      <c r="D5" s="18"/>
    </row>
    <row r="6" ht="20.05" customHeight="1">
      <c r="B6" s="31"/>
      <c r="C6" s="41"/>
      <c r="D6" s="18"/>
    </row>
    <row r="7" ht="20.05" customHeight="1">
      <c r="B7" s="31"/>
      <c r="C7" s="41"/>
      <c r="D7" s="18"/>
    </row>
    <row r="8" ht="20.05" customHeight="1">
      <c r="B8" s="31"/>
      <c r="C8" s="41"/>
      <c r="D8" s="18"/>
    </row>
    <row r="9" ht="20.05" customHeight="1">
      <c r="B9" s="31"/>
      <c r="C9" s="41">
        <v>79</v>
      </c>
      <c r="D9" s="18"/>
    </row>
    <row r="10" ht="20.05" customHeight="1">
      <c r="B10" s="31"/>
      <c r="C10" s="42">
        <v>81</v>
      </c>
      <c r="D10" s="18"/>
    </row>
    <row r="11" ht="20.05" customHeight="1">
      <c r="B11" s="31"/>
      <c r="C11" s="42">
        <v>112</v>
      </c>
      <c r="D11" s="18"/>
    </row>
    <row r="12" ht="20.05" customHeight="1">
      <c r="B12" s="31"/>
      <c r="C12" s="42">
        <v>118</v>
      </c>
      <c r="D12" s="18"/>
    </row>
    <row r="13" ht="20.05" customHeight="1">
      <c r="B13" s="31"/>
      <c r="C13" s="42">
        <v>135</v>
      </c>
      <c r="D13" s="18"/>
    </row>
    <row r="14" ht="20.05" customHeight="1">
      <c r="B14" s="31"/>
      <c r="C14" s="42">
        <v>172</v>
      </c>
      <c r="D14" s="18"/>
    </row>
    <row r="15" ht="20.05" customHeight="1">
      <c r="B15" s="31"/>
      <c r="C15" s="42">
        <v>151</v>
      </c>
      <c r="D15" s="18"/>
    </row>
    <row r="16" ht="20.05" customHeight="1">
      <c r="B16" s="32">
        <v>2018</v>
      </c>
      <c r="C16" s="42">
        <v>184</v>
      </c>
      <c r="D16" s="18"/>
    </row>
    <row r="17" ht="20.05" customHeight="1">
      <c r="B17" s="31"/>
      <c r="C17" s="42">
        <v>196</v>
      </c>
      <c r="D17" s="18"/>
    </row>
    <row r="18" ht="20.05" customHeight="1">
      <c r="B18" s="31"/>
      <c r="C18" s="42">
        <v>217</v>
      </c>
      <c r="D18" s="18"/>
    </row>
    <row r="19" ht="20.05" customHeight="1">
      <c r="B19" s="31"/>
      <c r="C19" s="42">
        <v>238</v>
      </c>
      <c r="D19" s="18"/>
    </row>
    <row r="20" ht="20.05" customHeight="1">
      <c r="B20" s="31"/>
      <c r="C20" s="42">
        <v>239</v>
      </c>
      <c r="D20" s="18"/>
    </row>
    <row r="21" ht="20.05" customHeight="1">
      <c r="B21" s="31"/>
      <c r="C21" s="42">
        <v>254</v>
      </c>
      <c r="D21" s="18"/>
    </row>
    <row r="22" ht="20.05" customHeight="1">
      <c r="B22" s="31"/>
      <c r="C22" s="42">
        <v>278</v>
      </c>
      <c r="D22" s="22"/>
    </row>
    <row r="23" ht="20.05" customHeight="1">
      <c r="B23" s="31"/>
      <c r="C23" s="42">
        <v>270</v>
      </c>
      <c r="D23" s="22"/>
    </row>
    <row r="24" ht="20.05" customHeight="1">
      <c r="B24" s="31"/>
      <c r="C24" s="42">
        <v>270</v>
      </c>
      <c r="D24" s="22"/>
    </row>
    <row r="25" ht="20.05" customHeight="1">
      <c r="B25" s="31"/>
      <c r="C25" s="42">
        <v>292</v>
      </c>
      <c r="D25" s="22"/>
    </row>
    <row r="26" ht="20.05" customHeight="1">
      <c r="B26" s="31"/>
      <c r="C26" s="42">
        <v>290</v>
      </c>
      <c r="D26" s="22"/>
    </row>
    <row r="27" ht="20.05" customHeight="1">
      <c r="B27" s="31"/>
      <c r="C27" s="42">
        <v>284</v>
      </c>
      <c r="D27" s="22"/>
    </row>
    <row r="28" ht="20.05" customHeight="1">
      <c r="B28" s="32">
        <v>2019</v>
      </c>
      <c r="C28" s="42">
        <v>282</v>
      </c>
      <c r="D28" s="22"/>
    </row>
    <row r="29" ht="20.05" customHeight="1">
      <c r="B29" s="31"/>
      <c r="C29" s="42">
        <v>280</v>
      </c>
      <c r="D29" s="22"/>
    </row>
    <row r="30" ht="20.05" customHeight="1">
      <c r="B30" s="31"/>
      <c r="C30" s="42">
        <v>276</v>
      </c>
      <c r="D30" s="22"/>
    </row>
    <row r="31" ht="20.05" customHeight="1">
      <c r="B31" s="31"/>
      <c r="C31" s="42">
        <v>322</v>
      </c>
      <c r="D31" s="22"/>
    </row>
    <row r="32" ht="20.05" customHeight="1">
      <c r="B32" s="31"/>
      <c r="C32" s="42">
        <v>380</v>
      </c>
      <c r="D32" s="22"/>
    </row>
    <row r="33" ht="20.05" customHeight="1">
      <c r="B33" s="31"/>
      <c r="C33" s="42">
        <v>388</v>
      </c>
      <c r="D33" s="22"/>
    </row>
    <row r="34" ht="20.05" customHeight="1">
      <c r="B34" s="31"/>
      <c r="C34" s="42">
        <v>525</v>
      </c>
      <c r="D34" s="22"/>
    </row>
    <row r="35" ht="20.05" customHeight="1">
      <c r="B35" s="31"/>
      <c r="C35" s="42">
        <v>590</v>
      </c>
      <c r="D35" s="22"/>
    </row>
    <row r="36" ht="20.05" customHeight="1">
      <c r="B36" s="31"/>
      <c r="C36" s="42">
        <v>540</v>
      </c>
      <c r="D36" s="22"/>
    </row>
    <row r="37" ht="20.05" customHeight="1">
      <c r="B37" s="31"/>
      <c r="C37" s="42">
        <v>545</v>
      </c>
      <c r="D37" s="22"/>
    </row>
    <row r="38" ht="20.05" customHeight="1">
      <c r="B38" s="31"/>
      <c r="C38" s="42">
        <v>510</v>
      </c>
      <c r="D38" s="22"/>
    </row>
    <row r="39" ht="20.05" customHeight="1">
      <c r="B39" s="31"/>
      <c r="C39" s="42">
        <v>505</v>
      </c>
      <c r="D39" s="22"/>
    </row>
    <row r="40" ht="20.05" customHeight="1">
      <c r="B40" s="32">
        <v>2020</v>
      </c>
      <c r="C40" s="42">
        <v>490</v>
      </c>
      <c r="D40" s="22"/>
    </row>
    <row r="41" ht="20.05" customHeight="1">
      <c r="B41" s="31"/>
      <c r="C41" s="42">
        <v>430</v>
      </c>
      <c r="D41" s="22"/>
    </row>
    <row r="42" ht="20.05" customHeight="1">
      <c r="B42" s="31"/>
      <c r="C42" s="42">
        <v>372</v>
      </c>
      <c r="D42" s="22"/>
    </row>
    <row r="43" ht="20.05" customHeight="1">
      <c r="B43" s="31"/>
      <c r="C43" s="42">
        <v>442</v>
      </c>
      <c r="D43" s="22"/>
    </row>
    <row r="44" ht="20.05" customHeight="1">
      <c r="B44" s="31"/>
      <c r="C44" s="42">
        <v>466</v>
      </c>
      <c r="D44" s="22"/>
    </row>
    <row r="45" ht="20.05" customHeight="1">
      <c r="B45" s="31"/>
      <c r="C45" s="42">
        <v>466</v>
      </c>
      <c r="D45" s="22"/>
    </row>
    <row r="46" ht="20.05" customHeight="1">
      <c r="B46" s="31"/>
      <c r="C46" s="17">
        <v>515</v>
      </c>
      <c r="D46" s="22"/>
    </row>
    <row r="47" ht="20.05" customHeight="1">
      <c r="B47" s="31"/>
      <c r="C47" s="17">
        <v>505</v>
      </c>
      <c r="D47" s="22"/>
    </row>
    <row r="48" ht="20.05" customHeight="1">
      <c r="B48" s="31"/>
      <c r="C48" s="17">
        <v>446</v>
      </c>
      <c r="D48" s="22"/>
    </row>
    <row r="49" ht="20.05" customHeight="1">
      <c r="B49" s="31"/>
      <c r="C49" s="17">
        <v>476</v>
      </c>
      <c r="D49" s="22"/>
    </row>
    <row r="50" ht="20.05" customHeight="1">
      <c r="B50" s="31"/>
      <c r="C50" s="17">
        <v>484</v>
      </c>
      <c r="D50" s="22"/>
    </row>
    <row r="51" ht="20.05" customHeight="1">
      <c r="B51" s="31"/>
      <c r="C51" s="17">
        <v>500</v>
      </c>
      <c r="D51" s="22"/>
    </row>
    <row r="52" ht="20.05" customHeight="1">
      <c r="B52" s="32">
        <v>2021</v>
      </c>
      <c r="C52" s="17">
        <v>480</v>
      </c>
      <c r="D52" s="22"/>
    </row>
    <row r="53" ht="20.05" customHeight="1">
      <c r="B53" s="31"/>
      <c r="C53" s="43">
        <v>473.35556</v>
      </c>
      <c r="D53" s="22"/>
    </row>
    <row r="54" ht="20.05" customHeight="1">
      <c r="B54" s="31"/>
      <c r="C54" s="43">
        <v>457.444427</v>
      </c>
      <c r="D54" s="22"/>
    </row>
    <row r="55" ht="20.05" customHeight="1">
      <c r="B55" s="31"/>
      <c r="C55" s="43">
        <v>457.444427</v>
      </c>
      <c r="D55" s="22"/>
    </row>
    <row r="56" ht="20.05" customHeight="1">
      <c r="B56" s="31"/>
      <c r="C56" s="43">
        <v>448</v>
      </c>
      <c r="D56" s="22"/>
    </row>
    <row r="57" ht="20.05" customHeight="1">
      <c r="B57" s="31"/>
      <c r="C57" s="43">
        <v>414</v>
      </c>
      <c r="D57" s="22"/>
    </row>
    <row r="58" ht="20.05" customHeight="1">
      <c r="B58" s="31"/>
      <c r="C58" s="43">
        <v>458</v>
      </c>
      <c r="D58" s="22"/>
    </row>
    <row r="59" ht="20.05" customHeight="1">
      <c r="B59" s="31"/>
      <c r="C59" s="43">
        <v>454</v>
      </c>
      <c r="D59" s="22"/>
    </row>
    <row r="60" ht="20.05" customHeight="1">
      <c r="B60" s="31"/>
      <c r="C60" s="43">
        <v>456</v>
      </c>
      <c r="D60" s="22"/>
    </row>
    <row r="61" ht="20.05" customHeight="1">
      <c r="B61" s="31"/>
      <c r="C61" s="43">
        <v>490</v>
      </c>
      <c r="D61" s="21">
        <f>C61</f>
        <v>490</v>
      </c>
    </row>
    <row r="62" ht="20.05" customHeight="1">
      <c r="B62" s="31"/>
      <c r="C62" s="43"/>
      <c r="D62" s="21">
        <f>'Model'!F43</f>
        <v>549.383893404799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