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" sheetId="3" r:id="rId6"/>
    <sheet name="Balance Sheet " sheetId="4" r:id="rId7"/>
    <sheet name="Share price" sheetId="5" r:id="rId8"/>
    <sheet name="Capital" sheetId="6" r:id="rId9"/>
  </sheets>
</workbook>
</file>

<file path=xl/sharedStrings.xml><?xml version="1.0" encoding="utf-8"?>
<sst xmlns="http://schemas.openxmlformats.org/spreadsheetml/2006/main" uniqueCount="68">
  <si>
    <t>Financial model</t>
  </si>
  <si>
    <t>Rpbn</t>
  </si>
  <si>
    <t>4Q 2021</t>
  </si>
  <si>
    <t>Cashflow</t>
  </si>
  <si>
    <t>Growth</t>
  </si>
  <si>
    <t xml:space="preserve">Sales </t>
  </si>
  <si>
    <t>Cost ratio</t>
  </si>
  <si>
    <t xml:space="preserve">Cash costs </t>
  </si>
  <si>
    <t xml:space="preserve">Operating </t>
  </si>
  <si>
    <t>Investment</t>
  </si>
  <si>
    <t>Finance</t>
  </si>
  <si>
    <t xml:space="preserve">Liabilities </t>
  </si>
  <si>
    <t xml:space="preserve">Equity </t>
  </si>
  <si>
    <t xml:space="preserve">Before revolver </t>
  </si>
  <si>
    <t xml:space="preserve">Revolver </t>
  </si>
  <si>
    <t>Beginning</t>
  </si>
  <si>
    <t>Change</t>
  </si>
  <si>
    <t xml:space="preserve">Ending </t>
  </si>
  <si>
    <t>Profit</t>
  </si>
  <si>
    <t>Non cash costs</t>
  </si>
  <si>
    <t xml:space="preserve">Net profit </t>
  </si>
  <si>
    <t xml:space="preserve">Balance Sheet </t>
  </si>
  <si>
    <t xml:space="preserve">Other assets </t>
  </si>
  <si>
    <t xml:space="preserve">Depreciation </t>
  </si>
  <si>
    <t xml:space="preserve">Net other assets </t>
  </si>
  <si>
    <t>Check</t>
  </si>
  <si>
    <t xml:space="preserve">Net cash </t>
  </si>
  <si>
    <t xml:space="preserve">Valuation </t>
  </si>
  <si>
    <t xml:space="preserve">Capital </t>
  </si>
  <si>
    <t xml:space="preserve">Current value </t>
  </si>
  <si>
    <t>P/assets</t>
  </si>
  <si>
    <t>Yield</t>
  </si>
  <si>
    <t xml:space="preserve">Forecast </t>
  </si>
  <si>
    <t xml:space="preserve">Value </t>
  </si>
  <si>
    <t>Shares</t>
  </si>
  <si>
    <t>Target</t>
  </si>
  <si>
    <t xml:space="preserve">Current </t>
  </si>
  <si>
    <t xml:space="preserve">V target </t>
  </si>
  <si>
    <t xml:space="preserve">12 month growth </t>
  </si>
  <si>
    <t xml:space="preserve">Sales forecasts </t>
  </si>
  <si>
    <t>Sales</t>
  </si>
  <si>
    <t xml:space="preserve">Profit </t>
  </si>
  <si>
    <t xml:space="preserve">Sales growth </t>
  </si>
  <si>
    <t xml:space="preserve">Cost ratio </t>
  </si>
  <si>
    <t>Cashflow costs</t>
  </si>
  <si>
    <t>Table 2</t>
  </si>
  <si>
    <t>JCI index</t>
  </si>
  <si>
    <t>2017</t>
  </si>
  <si>
    <t>2018</t>
  </si>
  <si>
    <t>2019</t>
  </si>
  <si>
    <t>2020</t>
  </si>
  <si>
    <t>2021</t>
  </si>
  <si>
    <t xml:space="preserve">Receipts </t>
  </si>
  <si>
    <t xml:space="preserve">Investment </t>
  </si>
  <si>
    <t xml:space="preserve">Interest </t>
  </si>
  <si>
    <t xml:space="preserve">Free cashflow </t>
  </si>
  <si>
    <t>Capital</t>
  </si>
  <si>
    <t>Balance sheet</t>
  </si>
  <si>
    <t xml:space="preserve">  Cash</t>
  </si>
  <si>
    <t>Assets</t>
  </si>
  <si>
    <t>Other assets</t>
  </si>
  <si>
    <t>Equity</t>
  </si>
  <si>
    <t xml:space="preserve">Check </t>
  </si>
  <si>
    <t>Net cash</t>
  </si>
  <si>
    <t>CENT</t>
  </si>
  <si>
    <t>Date</t>
  </si>
  <si>
    <t>Price</t>
  </si>
  <si>
    <t>Lease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</si>
</sst>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#,##0%"/>
    <numFmt numFmtId="60" formatCode="0_);[Red]\(0\)"/>
  </numFmts>
  <fonts count="8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2"/>
      <color indexed="14"/>
      <name val="Helvetica Neue"/>
    </font>
    <font>
      <sz val="12"/>
      <color indexed="8"/>
      <name val="Helvetica"/>
    </font>
    <font>
      <b val="1"/>
      <sz val="25"/>
      <color indexed="8"/>
      <name val="Helvetica Neue"/>
    </font>
    <font>
      <b val="1"/>
      <sz val="25"/>
      <color indexed="16"/>
      <name val="Helvetica Neue"/>
    </font>
    <font>
      <sz val="10"/>
      <color indexed="17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59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center"/>
    </xf>
    <xf numFmtId="49" fontId="2" fillId="2" borderId="1" applyNumberFormat="1" applyFont="1" applyFill="1" applyBorder="1" applyAlignment="1" applyProtection="0">
      <alignment horizontal="righ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3" borderId="2" applyNumberFormat="1" applyFont="1" applyFill="1" applyBorder="1" applyAlignment="1" applyProtection="0">
      <alignment horizontal="left" vertical="center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horizontal="left" vertical="center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horizontal="right" vertical="center"/>
    </xf>
    <xf numFmtId="3" fontId="0" borderId="7" applyNumberFormat="1" applyFont="1" applyFill="0" applyBorder="1" applyAlignment="1" applyProtection="0">
      <alignment horizontal="right" vertical="center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horizontal="left" vertical="center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1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49" fontId="2" fillId="4" borderId="2" applyNumberFormat="1" applyFont="1" applyFill="1" applyBorder="1" applyAlignment="1" applyProtection="0">
      <alignment vertical="top" wrapText="1"/>
    </xf>
    <xf numFmtId="1" fontId="0" borderId="3" applyNumberFormat="1" applyFont="1" applyFill="0" applyBorder="1" applyAlignment="1" applyProtection="0">
      <alignment vertical="top" wrapText="1"/>
    </xf>
    <xf numFmtId="49" fontId="2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0" borderId="7" applyNumberFormat="1" applyFont="1" applyFill="0" applyBorder="1" applyAlignment="1" applyProtection="0">
      <alignment horizontal="right"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/>
    </xf>
    <xf numFmtId="49" fontId="2" fillId="2" borderId="1" applyNumberFormat="1" applyFont="1" applyFill="1" applyBorder="1" applyAlignment="1" applyProtection="0">
      <alignment vertical="top"/>
    </xf>
    <xf numFmtId="0" fontId="2" fillId="4" borderId="2" applyNumberFormat="1" applyFont="1" applyFill="1" applyBorder="1" applyAlignment="1" applyProtection="0">
      <alignment vertical="top"/>
    </xf>
    <xf numFmtId="0" fontId="7" borderId="3" applyNumberFormat="1" applyFont="1" applyFill="0" applyBorder="1" applyAlignment="1" applyProtection="0">
      <alignment horizontal="right" vertical="center" wrapText="1" readingOrder="1"/>
    </xf>
    <xf numFmtId="0" fontId="7" borderId="4" applyNumberFormat="0" applyFont="1" applyFill="0" applyBorder="1" applyAlignment="1" applyProtection="0">
      <alignment horizontal="right" vertical="center" wrapText="1" readingOrder="1"/>
    </xf>
    <xf numFmtId="0" fontId="2" fillId="4" borderId="5" applyNumberFormat="0" applyFont="1" applyFill="1" applyBorder="1" applyAlignment="1" applyProtection="0">
      <alignment vertical="top"/>
    </xf>
    <xf numFmtId="0" fontId="7" borderId="6" applyNumberFormat="1" applyFont="1" applyFill="0" applyBorder="1" applyAlignment="1" applyProtection="0">
      <alignment horizontal="right" vertical="center" wrapText="1" readingOrder="1"/>
    </xf>
    <xf numFmtId="0" fontId="7" borderId="7" applyNumberFormat="0" applyFont="1" applyFill="0" applyBorder="1" applyAlignment="1" applyProtection="0">
      <alignment horizontal="right" vertical="center" wrapText="1" readingOrder="1"/>
    </xf>
    <xf numFmtId="0" fontId="2" fillId="4" borderId="5" applyNumberFormat="1" applyFont="1" applyFill="1" applyBorder="1" applyAlignment="1" applyProtection="0">
      <alignment vertical="top"/>
    </xf>
    <xf numFmtId="0" fontId="0" borderId="7" applyNumberFormat="0" applyFont="1" applyFill="0" applyBorder="1" applyAlignment="1" applyProtection="0">
      <alignment vertical="top"/>
    </xf>
    <xf numFmtId="3" fontId="0" borderId="6" applyNumberFormat="1" applyFont="1" applyFill="0" applyBorder="1" applyAlignment="1" applyProtection="0">
      <alignment vertical="top"/>
    </xf>
    <xf numFmtId="0" fontId="0" borderId="7" applyNumberFormat="1" applyFont="1" applyFill="0" applyBorder="1" applyAlignment="1" applyProtection="0">
      <alignment vertical="top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feffff"/>
      <rgbColor rgb="ffb8b8b8"/>
      <rgbColor rgb="ffed220b"/>
      <rgbColor rgb="ff32323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234485"/>
          <c:y val="0.12368"/>
          <c:w val="0.760515"/>
          <c:h val="0.810337"/>
        </c:manualLayout>
      </c:layout>
      <c:barChart>
        <c:barDir val="col"/>
        <c:grouping val="clustered"/>
        <c:varyColors val="0"/>
        <c:ser>
          <c:idx val="0"/>
          <c:order val="0"/>
          <c:tx>
            <c:v>Region 1</c:v>
          </c:tx>
          <c:spPr>
            <a:solidFill>
              <a:schemeClr val="accent1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April</c:v>
              </c:pt>
              <c:pt idx="1">
                <c:v>May</c:v>
              </c:pt>
              <c:pt idx="2">
                <c:v>June</c:v>
              </c:pt>
              <c:pt idx="3">
                <c:v>July</c:v>
              </c:pt>
            </c:strLit>
          </c:cat>
          <c:val>
            <c:numLit>
              <c:ptCount val="4"/>
              <c:pt idx="0">
                <c:v>17.000000</c:v>
              </c:pt>
              <c:pt idx="1">
                <c:v>26.000000</c:v>
              </c:pt>
              <c:pt idx="2">
                <c:v>53.000000</c:v>
              </c:pt>
              <c:pt idx="3">
                <c:v>96.000000</c:v>
              </c:pt>
            </c:numLit>
          </c:val>
        </c:ser>
        <c:ser>
          <c:idx val="1"/>
          <c:order val="1"/>
          <c:tx>
            <c:v>Region 2</c:v>
          </c:tx>
          <c:spPr>
            <a:solidFill>
              <a:schemeClr val="accent3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April</c:v>
              </c:pt>
              <c:pt idx="1">
                <c:v>May</c:v>
              </c:pt>
              <c:pt idx="2">
                <c:v>June</c:v>
              </c:pt>
              <c:pt idx="3">
                <c:v>July</c:v>
              </c:pt>
            </c:strLit>
          </c:cat>
          <c:val>
            <c:numLit>
              <c:ptCount val="4"/>
              <c:pt idx="0">
                <c:v>55.000000</c:v>
              </c:pt>
              <c:pt idx="1">
                <c:v>43.000000</c:v>
              </c:pt>
              <c:pt idx="2">
                <c:v>70.000000</c:v>
              </c:pt>
              <c:pt idx="3">
                <c:v>58.000000</c:v>
              </c:pt>
            </c:numLit>
          </c:val>
        </c:ser>
        <c:gapWidth val="4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  <c:max val="225000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56246"/>
        <c:minorUnit val="28123"/>
      </c:valAx>
      <c:spPr>
        <a:noFill/>
        <a:ln w="12700" cap="flat">
          <a:noFill/>
          <a:miter lim="400000"/>
        </a:ln>
        <a:effectLst/>
      </c:spPr>
    </c:plotArea>
    <c:legend>
      <c:legendPos val="t"/>
      <c:layout>
        <c:manualLayout>
          <c:xMode val="edge"/>
          <c:yMode val="edge"/>
          <c:x val="0.0749921"/>
          <c:y val="0"/>
          <c:w val="0.908078"/>
          <c:h val="0.0640667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165204"/>
          <c:y val="0.12368"/>
          <c:w val="0.778443"/>
          <c:h val="0.810337"/>
        </c:manualLayout>
      </c:layout>
      <c:lineChart>
        <c:grouping val="standard"/>
        <c:varyColors val="0"/>
        <c:ser>
          <c:idx val="0"/>
          <c:order val="0"/>
          <c:tx>
            <c:strRef>
              <c:f>'Sales'!$M$37</c:f>
              <c:strCache>
                <c:ptCount val="1"/>
                <c:pt idx="0">
                  <c:v>JCI index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3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3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'Sales'!$L$38:$L$54</c:f>
              <c:strCache>
                <c:ptCount val="17"/>
                <c:pt idx="0">
                  <c:v>2017</c:v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>2018</c:v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>2019</c:v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>2020</c:v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>2021</c:v>
                </c:pt>
              </c:strCache>
            </c:strRef>
          </c:cat>
          <c:val>
            <c:numRef>
              <c:f>'Sales'!$M$38:$M$54</c:f>
              <c:numCache>
                <c:ptCount val="17"/>
                <c:pt idx="0">
                  <c:v>5568.000000</c:v>
                </c:pt>
                <c:pt idx="1">
                  <c:v>5829.000000</c:v>
                </c:pt>
                <c:pt idx="2">
                  <c:v>5900.000000</c:v>
                </c:pt>
                <c:pt idx="3">
                  <c:v>6355.000000</c:v>
                </c:pt>
                <c:pt idx="4">
                  <c:v>6188.000000</c:v>
                </c:pt>
                <c:pt idx="5">
                  <c:v>5799.000000</c:v>
                </c:pt>
                <c:pt idx="6">
                  <c:v>5976.000000</c:v>
                </c:pt>
                <c:pt idx="7">
                  <c:v>6194.000000</c:v>
                </c:pt>
                <c:pt idx="8">
                  <c:v>6468.000000</c:v>
                </c:pt>
                <c:pt idx="9">
                  <c:v>6358.000000</c:v>
                </c:pt>
                <c:pt idx="10">
                  <c:v>6169.000000</c:v>
                </c:pt>
                <c:pt idx="11">
                  <c:v>6299.000000</c:v>
                </c:pt>
                <c:pt idx="12">
                  <c:v>4538.000000</c:v>
                </c:pt>
                <c:pt idx="13">
                  <c:v>4914.000000</c:v>
                </c:pt>
                <c:pt idx="14">
                  <c:v>4970.000000</c:v>
                </c:pt>
                <c:pt idx="15">
                  <c:v>5979.000000</c:v>
                </c:pt>
                <c:pt idx="16">
                  <c:v>6316.000000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  <c:max val="7750"/>
          <c:min val="3500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#,##0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1062.5"/>
        <c:minorUnit val="531.25"/>
      </c:valAx>
      <c:spPr>
        <a:noFill/>
        <a:ln w="12700" cap="flat">
          <a:noFill/>
          <a:miter lim="400000"/>
        </a:ln>
        <a:effectLst/>
      </c:spPr>
    </c:plotArea>
    <c:legend>
      <c:legendPos val="t"/>
      <c:layout>
        <c:manualLayout>
          <c:xMode val="edge"/>
          <c:yMode val="edge"/>
          <c:x val="0.411815"/>
          <c:y val="0"/>
          <c:w val="0.344467"/>
          <c:h val="0.0640667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166595"/>
          <c:y val="0.12368"/>
          <c:w val="0.785882"/>
          <c:h val="0.810337"/>
        </c:manualLayout>
      </c:layout>
      <c:lineChart>
        <c:grouping val="standard"/>
        <c:varyColors val="0"/>
        <c:ser>
          <c:idx val="0"/>
          <c:order val="0"/>
          <c:tx>
            <c:strRef>
              <c:f>'Capital'!$G$3</c:f>
              <c:strCache/>
            </c:strRef>
          </c:tx>
          <c:spPr>
            <a:solidFill>
              <a:srgbClr val="FFFFFF"/>
            </a:solidFill>
            <a:ln w="508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'Capital'!$B$4:$B$14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'Capital'!$G$4:$G$14</c:f>
              <c:numCache>
                <c:ptCount val="11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  <c:pt idx="3">
                  <c:v>157.274000</c:v>
                </c:pt>
                <c:pt idx="4">
                  <c:v>135.184000</c:v>
                </c:pt>
                <c:pt idx="5">
                  <c:v>101.720000</c:v>
                </c:pt>
                <c:pt idx="6">
                  <c:v>-1245.112000</c:v>
                </c:pt>
                <c:pt idx="7">
                  <c:v>-365.425000</c:v>
                </c:pt>
                <c:pt idx="8">
                  <c:v>138.412000</c:v>
                </c:pt>
                <c:pt idx="9">
                  <c:v>1954.112000</c:v>
                </c:pt>
                <c:pt idx="10">
                  <c:v>2258.892000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'Capital'!$H$3</c:f>
              <c:strCache/>
            </c:strRef>
          </c:tx>
          <c:spPr>
            <a:solidFill>
              <a:srgbClr val="FFFFFF"/>
            </a:solidFill>
            <a:ln w="50800" cap="flat">
              <a:solidFill>
                <a:schemeClr val="accent3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3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'Capital'!$B$4:$B$14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'Capital'!$H$4:$H$14</c:f>
              <c:numCache>
                <c:ptCount val="11"/>
                <c:pt idx="0">
                  <c:v>-0.571000</c:v>
                </c:pt>
                <c:pt idx="1">
                  <c:v>-0.571000</c:v>
                </c:pt>
                <c:pt idx="2">
                  <c:v>678.962000</c:v>
                </c:pt>
                <c:pt idx="3">
                  <c:v>678.962000</c:v>
                </c:pt>
                <c:pt idx="4">
                  <c:v>1124.440000</c:v>
                </c:pt>
                <c:pt idx="5">
                  <c:v>1121.449000</c:v>
                </c:pt>
                <c:pt idx="6">
                  <c:v>3193.128000</c:v>
                </c:pt>
                <c:pt idx="7">
                  <c:v>3193.128000</c:v>
                </c:pt>
                <c:pt idx="8">
                  <c:v>3193.128000</c:v>
                </c:pt>
                <c:pt idx="9">
                  <c:v>3193.128000</c:v>
                </c:pt>
                <c:pt idx="10">
                  <c:v>3193.128000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'Capital'!$J$3</c:f>
              <c:strCache/>
            </c:strRef>
          </c:tx>
          <c:spPr>
            <a:solidFill>
              <a:srgbClr val="FFFFFF"/>
            </a:solidFill>
            <a:ln w="50800" cap="flat">
              <a:solidFill>
                <a:schemeClr val="accent4">
                  <a:hueOff val="-461056"/>
                  <a:satOff val="4338"/>
                  <a:lumOff val="-10225"/>
                </a:schemeClr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4">
                    <a:hueOff val="-461056"/>
                    <a:satOff val="4338"/>
                    <a:lumOff val="-10225"/>
                  </a:schemeClr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'Capital'!$B$4:$B$14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'Capital'!$J$4:$J$14</c:f>
              <c:numCache>
                <c:ptCount val="11"/>
                <c:pt idx="0">
                  <c:v>-0.571000</c:v>
                </c:pt>
                <c:pt idx="1">
                  <c:v>-0.571000</c:v>
                </c:pt>
                <c:pt idx="2">
                  <c:v>678.962000</c:v>
                </c:pt>
                <c:pt idx="3">
                  <c:v>836.236000</c:v>
                </c:pt>
                <c:pt idx="4">
                  <c:v>1259.624000</c:v>
                </c:pt>
                <c:pt idx="5">
                  <c:v>1223.169000</c:v>
                </c:pt>
                <c:pt idx="6">
                  <c:v>1948.016000</c:v>
                </c:pt>
                <c:pt idx="7">
                  <c:v>2827.703000</c:v>
                </c:pt>
                <c:pt idx="8">
                  <c:v>3331.540000</c:v>
                </c:pt>
                <c:pt idx="9">
                  <c:v>5147.240000</c:v>
                </c:pt>
                <c:pt idx="10">
                  <c:v>5452.020000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1875"/>
        <c:minorUnit val="937.5"/>
      </c:valAx>
      <c:spPr>
        <a:noFill/>
        <a:ln w="12700" cap="flat">
          <a:noFill/>
          <a:miter lim="400000"/>
        </a:ln>
        <a:effectLst/>
      </c:spPr>
    </c:plotArea>
    <c:legend>
      <c:legendPos val="t"/>
      <c:layout>
        <c:manualLayout>
          <c:xMode val="edge"/>
          <c:yMode val="edge"/>
          <c:x val="0.0626188"/>
          <c:y val="0"/>
          <c:w val="0.9"/>
          <c:h val="0.0640667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3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654332</xdr:colOff>
      <xdr:row>2</xdr:row>
      <xdr:rowOff>31894</xdr:rowOff>
    </xdr:from>
    <xdr:to>
      <xdr:col>13</xdr:col>
      <xdr:colOff>134084</xdr:colOff>
      <xdr:row>44</xdr:row>
      <xdr:rowOff>152150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416832" y="975504"/>
          <a:ext cx="8191953" cy="1082000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29</xdr:col>
      <xdr:colOff>602531</xdr:colOff>
      <xdr:row>38</xdr:row>
      <xdr:rowOff>241565</xdr:rowOff>
    </xdr:from>
    <xdr:to>
      <xdr:col>31</xdr:col>
      <xdr:colOff>711177</xdr:colOff>
      <xdr:row>53</xdr:row>
      <xdr:rowOff>232040</xdr:rowOff>
    </xdr:to>
    <xdr:graphicFrame>
      <xdr:nvGraphicFramePr>
        <xdr:cNvPr id="4" name="2D Column Chart"/>
        <xdr:cNvGraphicFramePr/>
      </xdr:nvGraphicFramePr>
      <xdr:xfrm>
        <a:off x="31082531" y="10552060"/>
        <a:ext cx="2597847" cy="3810001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31</xdr:col>
      <xdr:colOff>914991</xdr:colOff>
      <xdr:row>38</xdr:row>
      <xdr:rowOff>241565</xdr:rowOff>
    </xdr:from>
    <xdr:to>
      <xdr:col>33</xdr:col>
      <xdr:colOff>1044526</xdr:colOff>
      <xdr:row>53</xdr:row>
      <xdr:rowOff>232040</xdr:rowOff>
    </xdr:to>
    <xdr:graphicFrame>
      <xdr:nvGraphicFramePr>
        <xdr:cNvPr id="5" name="2D Line Chart"/>
        <xdr:cNvGraphicFramePr/>
      </xdr:nvGraphicFramePr>
      <xdr:xfrm>
        <a:off x="33884191" y="10552060"/>
        <a:ext cx="2618736" cy="3810001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29</xdr:col>
      <xdr:colOff>1166870</xdr:colOff>
      <xdr:row>41</xdr:row>
      <xdr:rowOff>65620</xdr:rowOff>
    </xdr:from>
    <xdr:to>
      <xdr:col>31</xdr:col>
      <xdr:colOff>578591</xdr:colOff>
      <xdr:row>47</xdr:row>
      <xdr:rowOff>13428</xdr:rowOff>
    </xdr:to>
    <xdr:sp>
      <xdr:nvSpPr>
        <xdr:cNvPr id="6" name="Line"/>
        <xdr:cNvSpPr/>
      </xdr:nvSpPr>
      <xdr:spPr>
        <a:xfrm flipV="1">
          <a:off x="31646870" y="11140020"/>
          <a:ext cx="1900922" cy="1475619"/>
        </a:xfrm>
        <a:prstGeom prst="line">
          <a:avLst/>
        </a:prstGeom>
        <a:noFill/>
        <a:ln w="25400" cap="flat">
          <a:solidFill>
            <a:schemeClr val="accent5">
              <a:hueOff val="-82419"/>
              <a:satOff val="-9513"/>
              <a:lumOff val="-16343"/>
            </a:schemeClr>
          </a:solidFill>
          <a:prstDash val="solid"/>
          <a:miter lim="400000"/>
          <a:tailEnd type="triangle" w="med" len="med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32</xdr:col>
      <xdr:colOff>175718</xdr:colOff>
      <xdr:row>41</xdr:row>
      <xdr:rowOff>65620</xdr:rowOff>
    </xdr:from>
    <xdr:to>
      <xdr:col>33</xdr:col>
      <xdr:colOff>832039</xdr:colOff>
      <xdr:row>47</xdr:row>
      <xdr:rowOff>13428</xdr:rowOff>
    </xdr:to>
    <xdr:sp>
      <xdr:nvSpPr>
        <xdr:cNvPr id="7" name="Line"/>
        <xdr:cNvSpPr/>
      </xdr:nvSpPr>
      <xdr:spPr>
        <a:xfrm flipV="1">
          <a:off x="34389518" y="11140020"/>
          <a:ext cx="1900922" cy="1475619"/>
        </a:xfrm>
        <a:prstGeom prst="line">
          <a:avLst/>
        </a:prstGeom>
        <a:noFill/>
        <a:ln w="25400" cap="flat">
          <a:solidFill>
            <a:schemeClr val="accent5">
              <a:hueOff val="-82419"/>
              <a:satOff val="-9513"/>
              <a:lumOff val="-16343"/>
            </a:schemeClr>
          </a:solidFill>
          <a:prstDash val="solid"/>
          <a:miter lim="400000"/>
          <a:tailEnd type="triangle" w="med" len="med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29</xdr:col>
      <xdr:colOff>576535</xdr:colOff>
      <xdr:row>36</xdr:row>
      <xdr:rowOff>289399</xdr:rowOff>
    </xdr:from>
    <xdr:to>
      <xdr:col>33</xdr:col>
      <xdr:colOff>1066437</xdr:colOff>
      <xdr:row>38</xdr:row>
      <xdr:rowOff>167050</xdr:rowOff>
    </xdr:to>
    <xdr:sp>
      <xdr:nvSpPr>
        <xdr:cNvPr id="8" name="FOLLOW THE CASHFLOW HIGHER"/>
        <xdr:cNvSpPr txBox="1"/>
      </xdr:nvSpPr>
      <xdr:spPr>
        <a:xfrm>
          <a:off x="31056535" y="9933144"/>
          <a:ext cx="5468303" cy="544402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2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2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FOLLOW THE CASHFLOW </a:t>
          </a:r>
          <a:r>
            <a:rPr b="1" baseline="0" cap="none" i="0" spc="0" strike="noStrike" sz="2500" u="none">
              <a:solidFill>
                <a:schemeClr val="accent5">
                  <a:hueOff val="-82419"/>
                  <a:satOff val="-9513"/>
                  <a:lumOff val="-16343"/>
                </a:schemeClr>
              </a:solidFill>
              <a:uFillTx/>
              <a:latin typeface="+mn-lt"/>
              <a:ea typeface="+mn-ea"/>
              <a:cs typeface="+mn-cs"/>
              <a:sym typeface="Helvetica Neue"/>
            </a:rPr>
            <a:t>HIGHER</a:t>
          </a:r>
        </a:p>
      </xdr:txBody>
    </xdr:sp>
    <xdr:clientData/>
  </xdr:twoCellAnchor>
</xdr:wsDr>
</file>

<file path=xl/drawings/drawing3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0</xdr:colOff>
      <xdr:row>16</xdr:row>
      <xdr:rowOff>136838</xdr:rowOff>
    </xdr:from>
    <xdr:to>
      <xdr:col>4</xdr:col>
      <xdr:colOff>654237</xdr:colOff>
      <xdr:row>31</xdr:row>
      <xdr:rowOff>155888</xdr:rowOff>
    </xdr:to>
    <xdr:graphicFrame>
      <xdr:nvGraphicFramePr>
        <xdr:cNvPr id="10" name="2D Line Chart"/>
        <xdr:cNvGraphicFramePr/>
      </xdr:nvGraphicFramePr>
      <xdr:xfrm>
        <a:off x="0" y="4292913"/>
        <a:ext cx="3105338" cy="3810001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3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5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0.0781" style="1" customWidth="1"/>
    <col min="2" max="2" width="16.4375" style="1" customWidth="1"/>
    <col min="3" max="6" width="9.03125" style="1" customWidth="1"/>
    <col min="7" max="16384" width="16.3516" style="1" customWidth="1"/>
  </cols>
  <sheetData>
    <row r="1" ht="46.65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t="s" s="4">
        <v>2</v>
      </c>
      <c r="D3" s="5"/>
      <c r="E3" s="5"/>
      <c r="F3" s="5"/>
    </row>
    <row r="4" ht="20.25" customHeight="1">
      <c r="B4" t="s" s="6">
        <v>3</v>
      </c>
      <c r="C4" s="7">
        <f>AVERAGE('Sales'!H27:H30)</f>
        <v>0.008430891007284631</v>
      </c>
      <c r="D4" s="8"/>
      <c r="E4" s="8"/>
      <c r="F4" s="9">
        <f>AVERAGE(C5:F5)</f>
        <v>0.04</v>
      </c>
    </row>
    <row r="5" ht="20.05" customHeight="1">
      <c r="B5" t="s" s="10">
        <v>4</v>
      </c>
      <c r="C5" s="11">
        <v>0.11</v>
      </c>
      <c r="D5" s="12">
        <v>-0.03</v>
      </c>
      <c r="E5" s="12">
        <v>0.04</v>
      </c>
      <c r="F5" s="12">
        <v>0.04</v>
      </c>
    </row>
    <row r="6" ht="20.05" customHeight="1">
      <c r="B6" t="s" s="10">
        <v>5</v>
      </c>
      <c r="C6" s="13">
        <f>'Sales'!C30*(1+C5)</f>
        <v>334.443</v>
      </c>
      <c r="D6" s="14">
        <f>C6*(1+D5)</f>
        <v>324.40971</v>
      </c>
      <c r="E6" s="14">
        <f>D6*(1+E5)</f>
        <v>337.3860984</v>
      </c>
      <c r="F6" s="14">
        <f>E6*(1+F5)</f>
        <v>350.881542336</v>
      </c>
    </row>
    <row r="7" ht="20.05" customHeight="1">
      <c r="B7" t="s" s="10">
        <v>6</v>
      </c>
      <c r="C7" s="15">
        <f>AVERAGE('Sales'!I23)</f>
        <v>-0.6419942348008389</v>
      </c>
      <c r="D7" s="16">
        <f>C7</f>
        <v>-0.6419942348008389</v>
      </c>
      <c r="E7" s="16">
        <f>D7</f>
        <v>-0.6419942348008389</v>
      </c>
      <c r="F7" s="16">
        <f>E7</f>
        <v>-0.6419942348008389</v>
      </c>
    </row>
    <row r="8" ht="20.05" customHeight="1">
      <c r="B8" t="s" s="10">
        <v>7</v>
      </c>
      <c r="C8" s="17">
        <f>C6*C7</f>
        <v>-214.710477869497</v>
      </c>
      <c r="D8" s="18">
        <f>D6*D7</f>
        <v>-208.269163533412</v>
      </c>
      <c r="E8" s="18">
        <f>E6*E7</f>
        <v>-216.599930074749</v>
      </c>
      <c r="F8" s="18">
        <f>F6*F7</f>
        <v>-225.263927277739</v>
      </c>
    </row>
    <row r="9" ht="20.05" customHeight="1">
      <c r="B9" t="s" s="10">
        <v>8</v>
      </c>
      <c r="C9" s="19">
        <f>C6+C8</f>
        <v>119.732522130503</v>
      </c>
      <c r="D9" s="20">
        <f>D6+D8</f>
        <v>116.140546466588</v>
      </c>
      <c r="E9" s="20">
        <f>E6+E8</f>
        <v>120.786168325251</v>
      </c>
      <c r="F9" s="20">
        <f>F6+F8</f>
        <v>125.617615058261</v>
      </c>
    </row>
    <row r="10" ht="20.05" customHeight="1">
      <c r="B10" t="s" s="10">
        <v>9</v>
      </c>
      <c r="C10" s="19">
        <f>AVERAGE('Cashflow'!E28:E30)</f>
        <v>-187.6</v>
      </c>
      <c r="D10" s="20">
        <f>C10</f>
        <v>-187.6</v>
      </c>
      <c r="E10" s="20">
        <f>D10</f>
        <v>-187.6</v>
      </c>
      <c r="F10" s="20">
        <f>E10</f>
        <v>-187.6</v>
      </c>
    </row>
    <row r="11" ht="20.05" customHeight="1">
      <c r="B11" t="s" s="10">
        <v>10</v>
      </c>
      <c r="C11" s="19">
        <f>C12+C13+C15</f>
        <v>67.86747786949699</v>
      </c>
      <c r="D11" s="20">
        <f>D12+D13+D15</f>
        <v>71.459453533412</v>
      </c>
      <c r="E11" s="20">
        <f>E12+E13+E15</f>
        <v>66.813831674749</v>
      </c>
      <c r="F11" s="20">
        <f>F12+F13+F15</f>
        <v>61.982384941739</v>
      </c>
    </row>
    <row r="12" ht="20.05" customHeight="1">
      <c r="B12" t="s" s="10">
        <v>11</v>
      </c>
      <c r="C12" s="19">
        <f>-('Balance Sheet '!G30)/20</f>
        <v>-281.8</v>
      </c>
      <c r="D12" s="20">
        <f>-C26/20</f>
        <v>-267.71</v>
      </c>
      <c r="E12" s="20">
        <f>-D26/20</f>
        <v>-254.3245</v>
      </c>
      <c r="F12" s="20">
        <f>-E26/20</f>
        <v>-241.608275</v>
      </c>
    </row>
    <row r="13" ht="20.05" customHeight="1">
      <c r="B13" t="s" s="10">
        <v>12</v>
      </c>
      <c r="C13" s="21">
        <f>IF(C21&gt;0,-C21*0.3,0)</f>
        <v>0</v>
      </c>
      <c r="D13" s="22">
        <f>IF(D21&gt;0,-D21*0.3,0)</f>
        <v>0</v>
      </c>
      <c r="E13" s="22">
        <f>IF(E21&gt;0,-E21*0.3,0)</f>
        <v>0</v>
      </c>
      <c r="F13" s="22">
        <f>IF(F21&gt;0,-F21*0.3,0)</f>
        <v>0</v>
      </c>
    </row>
    <row r="14" ht="20.05" customHeight="1">
      <c r="B14" t="s" s="10">
        <v>13</v>
      </c>
      <c r="C14" s="19">
        <f>C9+C10+C12+C13</f>
        <v>-349.667477869497</v>
      </c>
      <c r="D14" s="20">
        <f>D9+D10+D12+D13</f>
        <v>-339.169453533412</v>
      </c>
      <c r="E14" s="20">
        <f>E9+E10+E12+E13</f>
        <v>-321.138331674749</v>
      </c>
      <c r="F14" s="20">
        <f>F9+F10+F12+F13</f>
        <v>-303.590659941739</v>
      </c>
    </row>
    <row r="15" ht="20.05" customHeight="1">
      <c r="B15" t="s" s="10">
        <v>14</v>
      </c>
      <c r="C15" s="19">
        <f>-MIN(0,C14)</f>
        <v>349.667477869497</v>
      </c>
      <c r="D15" s="20">
        <f>-MIN(C27,D14)</f>
        <v>339.169453533412</v>
      </c>
      <c r="E15" s="20">
        <f>-MIN(D27,E14)</f>
        <v>321.138331674749</v>
      </c>
      <c r="F15" s="20">
        <f>-MIN(E27,F14)</f>
        <v>303.590659941739</v>
      </c>
    </row>
    <row r="16" ht="20.05" customHeight="1">
      <c r="B16" t="s" s="10">
        <v>15</v>
      </c>
      <c r="C16" s="19">
        <f>'Balance Sheet '!C30</f>
        <v>530</v>
      </c>
      <c r="D16" s="20">
        <f>C18</f>
        <v>530</v>
      </c>
      <c r="E16" s="20">
        <f>D18</f>
        <v>530</v>
      </c>
      <c r="F16" s="20">
        <f>E18</f>
        <v>530</v>
      </c>
    </row>
    <row r="17" ht="20.05" customHeight="1">
      <c r="B17" t="s" s="10">
        <v>16</v>
      </c>
      <c r="C17" s="19">
        <f>C9+C10+C11</f>
        <v>0</v>
      </c>
      <c r="D17" s="20">
        <f>D9+D10+D11</f>
        <v>0</v>
      </c>
      <c r="E17" s="20">
        <f>E9+E10+E11</f>
        <v>0</v>
      </c>
      <c r="F17" s="20">
        <f>F9+F10+F11</f>
        <v>0</v>
      </c>
    </row>
    <row r="18" ht="20.05" customHeight="1">
      <c r="B18" t="s" s="10">
        <v>17</v>
      </c>
      <c r="C18" s="19">
        <f>C16+C17</f>
        <v>530</v>
      </c>
      <c r="D18" s="20">
        <f>D16+D17</f>
        <v>530</v>
      </c>
      <c r="E18" s="20">
        <f>E16+E17</f>
        <v>530</v>
      </c>
      <c r="F18" s="20">
        <f>F16+F17</f>
        <v>530</v>
      </c>
    </row>
    <row r="19" ht="20.05" customHeight="1">
      <c r="B19" t="s" s="23">
        <v>18</v>
      </c>
      <c r="C19" s="24"/>
      <c r="D19" s="25"/>
      <c r="E19" s="25"/>
      <c r="F19" s="26"/>
    </row>
    <row r="20" ht="20.05" customHeight="1">
      <c r="B20" t="s" s="10">
        <v>19</v>
      </c>
      <c r="C20" s="19">
        <f>-AVERAGE('Sales'!E30)</f>
        <v>-146.6</v>
      </c>
      <c r="D20" s="20">
        <f>C20</f>
        <v>-146.6</v>
      </c>
      <c r="E20" s="20">
        <f>D20</f>
        <v>-146.6</v>
      </c>
      <c r="F20" s="20">
        <f>E20</f>
        <v>-146.6</v>
      </c>
    </row>
    <row r="21" ht="20.05" customHeight="1">
      <c r="B21" t="s" s="10">
        <v>20</v>
      </c>
      <c r="C21" s="21">
        <f>C6+C8+C20</f>
        <v>-26.867477869497</v>
      </c>
      <c r="D21" s="22">
        <f>D6+D8+D20</f>
        <v>-30.459453533412</v>
      </c>
      <c r="E21" s="22">
        <f>E6+E8+E20</f>
        <v>-25.813831674749</v>
      </c>
      <c r="F21" s="22">
        <f>F6+F8+F20</f>
        <v>-20.982384941739</v>
      </c>
    </row>
    <row r="22" ht="20.05" customHeight="1">
      <c r="B22" t="s" s="23">
        <v>21</v>
      </c>
      <c r="C22" s="24"/>
      <c r="D22" s="25"/>
      <c r="E22" s="25"/>
      <c r="F22" s="25"/>
    </row>
    <row r="23" ht="20.05" customHeight="1">
      <c r="B23" t="s" s="10">
        <v>22</v>
      </c>
      <c r="C23" s="19">
        <f>'Balance Sheet '!E30+'Balance Sheet '!F30-C10</f>
        <v>10289.6</v>
      </c>
      <c r="D23" s="20">
        <f>C23-D10</f>
        <v>10477.2</v>
      </c>
      <c r="E23" s="20">
        <f>D23-E10</f>
        <v>10664.8</v>
      </c>
      <c r="F23" s="20">
        <f>E23-F10</f>
        <v>10852.4</v>
      </c>
    </row>
    <row r="24" ht="20.05" customHeight="1">
      <c r="B24" t="s" s="10">
        <v>23</v>
      </c>
      <c r="C24" s="19">
        <f>'Balance Sheet '!F30-C20</f>
        <v>2902.6</v>
      </c>
      <c r="D24" s="20">
        <f>C24-D20</f>
        <v>3049.2</v>
      </c>
      <c r="E24" s="20">
        <f>D24-E20</f>
        <v>3195.8</v>
      </c>
      <c r="F24" s="20">
        <f>E24-F20</f>
        <v>3342.4</v>
      </c>
    </row>
    <row r="25" ht="20.05" customHeight="1">
      <c r="B25" t="s" s="10">
        <v>24</v>
      </c>
      <c r="C25" s="19">
        <f>C23-C24</f>
        <v>7387</v>
      </c>
      <c r="D25" s="20">
        <f>D23-D24</f>
        <v>7428</v>
      </c>
      <c r="E25" s="20">
        <f>E23-E24</f>
        <v>7469</v>
      </c>
      <c r="F25" s="20">
        <f>F23-F24</f>
        <v>7510</v>
      </c>
    </row>
    <row r="26" ht="20.05" customHeight="1">
      <c r="B26" t="s" s="10">
        <v>11</v>
      </c>
      <c r="C26" s="19">
        <f>'Balance Sheet '!G30+C12</f>
        <v>5354.2</v>
      </c>
      <c r="D26" s="20">
        <f>C26+D12</f>
        <v>5086.49</v>
      </c>
      <c r="E26" s="20">
        <f>D26+E12</f>
        <v>4832.1655</v>
      </c>
      <c r="F26" s="20">
        <f>E26+F12</f>
        <v>4590.557225</v>
      </c>
    </row>
    <row r="27" ht="20.05" customHeight="1">
      <c r="B27" t="s" s="10">
        <v>14</v>
      </c>
      <c r="C27" s="19">
        <f>C15</f>
        <v>349.667477869497</v>
      </c>
      <c r="D27" s="20">
        <f>C27+D15</f>
        <v>688.836931402909</v>
      </c>
      <c r="E27" s="20">
        <f>D27+E15</f>
        <v>1009.975263077660</v>
      </c>
      <c r="F27" s="20">
        <f>E27+F15</f>
        <v>1313.5659230194</v>
      </c>
    </row>
    <row r="28" ht="20.05" customHeight="1">
      <c r="B28" t="s" s="10">
        <v>12</v>
      </c>
      <c r="C28" s="19">
        <f>'Balance Sheet '!H30+C21</f>
        <v>2213.1325221305</v>
      </c>
      <c r="D28" s="20">
        <f>C28+D21</f>
        <v>2182.673068597090</v>
      </c>
      <c r="E28" s="20">
        <f>D28+E21</f>
        <v>2156.859236922340</v>
      </c>
      <c r="F28" s="20">
        <f>E28+F21</f>
        <v>2135.8768519806</v>
      </c>
    </row>
    <row r="29" ht="20.05" customHeight="1">
      <c r="B29" t="s" s="10">
        <v>25</v>
      </c>
      <c r="C29" s="21">
        <f>C26+C27+C28-C18-C25</f>
        <v>-3e-12</v>
      </c>
      <c r="D29" s="22">
        <f>D26+D27+D28-D18-D25</f>
        <v>-1e-12</v>
      </c>
      <c r="E29" s="22">
        <f>E26+E27+E28-E18-E25</f>
        <v>0</v>
      </c>
      <c r="F29" s="22">
        <f>F26+F27+F28-F18-F25</f>
        <v>0</v>
      </c>
    </row>
    <row r="30" ht="20.05" customHeight="1">
      <c r="B30" t="s" s="10">
        <v>26</v>
      </c>
      <c r="C30" s="21">
        <f>C18-C26-C27</f>
        <v>-5173.8674778695</v>
      </c>
      <c r="D30" s="22">
        <f>D18-D26-D27</f>
        <v>-5245.326931402910</v>
      </c>
      <c r="E30" s="22">
        <f>E18-E26-E27</f>
        <v>-5312.140763077660</v>
      </c>
      <c r="F30" s="22">
        <f>F18-F26-F27</f>
        <v>-5374.1231480194</v>
      </c>
    </row>
    <row r="31" ht="20.05" customHeight="1">
      <c r="B31" t="s" s="10">
        <v>27</v>
      </c>
      <c r="C31" s="21"/>
      <c r="D31" s="22"/>
      <c r="E31" s="22"/>
      <c r="F31" s="22"/>
    </row>
    <row r="32" ht="20.05" customHeight="1">
      <c r="B32" t="s" s="10">
        <v>28</v>
      </c>
      <c r="C32" s="21">
        <f>'Cashflow'!L30-C11</f>
        <v>-4740.9974778695</v>
      </c>
      <c r="D32" s="22">
        <f>C32-D11</f>
        <v>-4812.456931402910</v>
      </c>
      <c r="E32" s="22">
        <f>D32-E11</f>
        <v>-4879.270763077660</v>
      </c>
      <c r="F32" s="22">
        <f>E32-F11</f>
        <v>-4941.2531480194</v>
      </c>
    </row>
    <row r="33" ht="20.05" customHeight="1">
      <c r="B33" t="s" s="10">
        <v>29</v>
      </c>
      <c r="C33" s="21"/>
      <c r="D33" s="22"/>
      <c r="E33" s="22"/>
      <c r="F33" s="22">
        <v>8607</v>
      </c>
    </row>
    <row r="34" ht="20.05" customHeight="1">
      <c r="B34" t="s" s="10">
        <v>30</v>
      </c>
      <c r="C34" s="21"/>
      <c r="D34" s="22"/>
      <c r="E34" s="22"/>
      <c r="F34" s="27">
        <f>F33/(F18+F25)</f>
        <v>1.0705223880597</v>
      </c>
    </row>
    <row r="35" ht="20.05" customHeight="1">
      <c r="B35" t="s" s="10">
        <v>31</v>
      </c>
      <c r="C35" s="21"/>
      <c r="D35" s="22"/>
      <c r="E35" s="22"/>
      <c r="F35" s="16">
        <f>-(C13+D13+E13+F13)/F33</f>
        <v>0</v>
      </c>
    </row>
    <row r="36" ht="20.05" customHeight="1">
      <c r="B36" t="s" s="10">
        <v>3</v>
      </c>
      <c r="C36" s="21"/>
      <c r="D36" s="22"/>
      <c r="E36" s="22"/>
      <c r="F36" s="22">
        <f>SUM(C9:F9)</f>
        <v>482.276851980603</v>
      </c>
    </row>
    <row r="37" ht="20.05" customHeight="1">
      <c r="B37" t="s" s="10">
        <v>27</v>
      </c>
      <c r="C37" s="21"/>
      <c r="D37" s="22"/>
      <c r="E37" s="22"/>
      <c r="F37" s="22">
        <f>F33/F36</f>
        <v>17.8465957149985</v>
      </c>
    </row>
    <row r="38" ht="20.05" customHeight="1">
      <c r="B38" t="s" s="10">
        <v>32</v>
      </c>
      <c r="C38" s="21"/>
      <c r="D38" s="22"/>
      <c r="E38" s="22"/>
      <c r="F38" s="22">
        <v>12</v>
      </c>
    </row>
    <row r="39" ht="20.05" customHeight="1">
      <c r="B39" t="s" s="10">
        <v>33</v>
      </c>
      <c r="C39" s="21"/>
      <c r="D39" s="22"/>
      <c r="E39" s="22"/>
      <c r="F39" s="22">
        <f>F36*F38</f>
        <v>5787.322223767240</v>
      </c>
    </row>
    <row r="40" ht="20.05" customHeight="1">
      <c r="B40" t="s" s="10">
        <v>34</v>
      </c>
      <c r="C40" s="21"/>
      <c r="D40" s="22"/>
      <c r="E40" s="22"/>
      <c r="F40" s="22">
        <f>F33/F42</f>
        <v>30.9604316546763</v>
      </c>
    </row>
    <row r="41" ht="20.05" customHeight="1">
      <c r="B41" t="s" s="10">
        <v>35</v>
      </c>
      <c r="C41" s="21"/>
      <c r="D41" s="22"/>
      <c r="E41" s="22"/>
      <c r="F41" s="22">
        <f>F39/F40</f>
        <v>186.926406205099</v>
      </c>
    </row>
    <row r="42" ht="20.05" customHeight="1">
      <c r="B42" t="s" s="10">
        <v>36</v>
      </c>
      <c r="C42" s="21"/>
      <c r="D42" s="22"/>
      <c r="E42" s="22"/>
      <c r="F42" s="22">
        <f>'Share price'!C19</f>
        <v>278</v>
      </c>
    </row>
    <row r="43" ht="20.05" customHeight="1">
      <c r="B43" t="s" s="10">
        <v>37</v>
      </c>
      <c r="C43" s="21"/>
      <c r="D43" s="22"/>
      <c r="E43" s="22"/>
      <c r="F43" s="16">
        <f>F41/F42-1</f>
        <v>-0.327602855377342</v>
      </c>
    </row>
    <row r="44" ht="20.05" customHeight="1">
      <c r="B44" t="s" s="10">
        <v>38</v>
      </c>
      <c r="C44" s="21"/>
      <c r="D44" s="22"/>
      <c r="E44" s="22"/>
      <c r="F44" s="16">
        <f>'Sales'!C30/'Sales'!C26-1</f>
        <v>0.0327228854544769</v>
      </c>
    </row>
    <row r="45" ht="20.05" customHeight="1">
      <c r="B45" t="s" s="10">
        <v>39</v>
      </c>
      <c r="C45" s="21"/>
      <c r="D45" s="22"/>
      <c r="E45" s="22"/>
      <c r="F45" s="16">
        <f>('Sales'!D25+'Sales'!D30+'Sales'!D26+'Sales'!D27+'Sales'!D28+'Sales'!D29)/('Sales'!C25+'Sales'!C26+'Sales'!C27+'Sales'!C28+'Sales'!C30+'Sales'!C29)-1</f>
        <v>-0.0334264961823331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M54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9.39062" style="28" customWidth="1"/>
    <col min="2" max="2" width="10.0312" style="28" customWidth="1"/>
    <col min="3" max="11" width="11.2578" style="28" customWidth="1"/>
    <col min="12" max="13" width="8.625" style="37" customWidth="1"/>
    <col min="14" max="16384" width="16.3516" style="37" customWidth="1"/>
  </cols>
  <sheetData>
    <row r="1" ht="30.15" customHeight="1"/>
    <row r="2" ht="27.65" customHeight="1">
      <c r="B2" t="s" s="2">
        <v>40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4">
        <v>1</v>
      </c>
      <c r="C3" t="s" s="4">
        <v>40</v>
      </c>
      <c r="D3" t="s" s="4">
        <v>32</v>
      </c>
      <c r="E3" t="s" s="4">
        <v>23</v>
      </c>
      <c r="F3" t="s" s="4">
        <v>41</v>
      </c>
      <c r="G3" t="s" s="4">
        <v>41</v>
      </c>
      <c r="H3" t="s" s="4">
        <v>42</v>
      </c>
      <c r="I3" t="s" s="4">
        <v>43</v>
      </c>
      <c r="J3" t="s" s="4">
        <v>44</v>
      </c>
      <c r="K3" t="s" s="4">
        <v>44</v>
      </c>
    </row>
    <row r="4" ht="20.25" customHeight="1">
      <c r="B4" s="29">
        <v>2015</v>
      </c>
      <c r="C4" s="30">
        <v>24.048</v>
      </c>
      <c r="D4" s="31"/>
      <c r="E4" s="32">
        <v>17</v>
      </c>
      <c r="F4" s="32">
        <v>-12.43</v>
      </c>
      <c r="G4" s="33"/>
      <c r="H4" s="9"/>
      <c r="I4" s="34">
        <f>(F4+E4-C4)/C4</f>
        <v>-0.809963406520293</v>
      </c>
      <c r="J4" s="34"/>
      <c r="K4" s="34"/>
    </row>
    <row r="5" ht="20.05" customHeight="1">
      <c r="B5" s="35"/>
      <c r="C5" s="21">
        <v>24.932</v>
      </c>
      <c r="D5" s="25"/>
      <c r="E5" s="22">
        <v>18</v>
      </c>
      <c r="F5" s="22">
        <v>-10.47</v>
      </c>
      <c r="G5" s="22"/>
      <c r="H5" s="16">
        <f>C5/C4-1</f>
        <v>0.0367598137059215</v>
      </c>
      <c r="I5" s="16">
        <f>(F5+E5-C5)/C5</f>
        <v>-0.697978501524146</v>
      </c>
      <c r="J5" s="16"/>
      <c r="K5" s="16"/>
    </row>
    <row r="6" ht="20.05" customHeight="1">
      <c r="B6" s="35"/>
      <c r="C6" s="21">
        <v>26.9</v>
      </c>
      <c r="D6" s="25"/>
      <c r="E6" s="22">
        <v>20</v>
      </c>
      <c r="F6" s="22">
        <v>-10.03</v>
      </c>
      <c r="G6" s="22"/>
      <c r="H6" s="16">
        <f>C6/C5-1</f>
        <v>0.0789347023905022</v>
      </c>
      <c r="I6" s="16">
        <f>(F6+E6-C6)/C6</f>
        <v>-0.629368029739777</v>
      </c>
      <c r="J6" s="16"/>
      <c r="K6" s="16"/>
    </row>
    <row r="7" ht="20.05" customHeight="1">
      <c r="B7" s="35"/>
      <c r="C7" s="21">
        <v>29.1</v>
      </c>
      <c r="D7" s="25"/>
      <c r="E7" s="22">
        <v>23</v>
      </c>
      <c r="F7" s="22">
        <v>-20.46</v>
      </c>
      <c r="G7" s="22">
        <f>AVERAGE(F4:F7)</f>
        <v>-13.3475</v>
      </c>
      <c r="H7" s="16">
        <f>C7/C6-1</f>
        <v>0.0817843866171004</v>
      </c>
      <c r="I7" s="16">
        <f>(F7+E7-C7)/C7</f>
        <v>-0.912714776632302</v>
      </c>
      <c r="J7" s="16"/>
      <c r="K7" s="16"/>
    </row>
    <row r="8" ht="20.05" customHeight="1">
      <c r="B8" s="36">
        <v>2016</v>
      </c>
      <c r="C8" s="21">
        <v>28.4</v>
      </c>
      <c r="D8" s="25"/>
      <c r="E8" s="22">
        <v>20</v>
      </c>
      <c r="F8" s="22">
        <v>-9.390000000000001</v>
      </c>
      <c r="G8" s="22">
        <f>AVERAGE(F5:F8)</f>
        <v>-12.5875</v>
      </c>
      <c r="H8" s="16">
        <f>C8/C7-1</f>
        <v>-0.0240549828178694</v>
      </c>
      <c r="I8" s="16">
        <f>(F8+E8-C8)/C8</f>
        <v>-0.626408450704225</v>
      </c>
      <c r="J8" s="26"/>
      <c r="K8" s="26"/>
    </row>
    <row r="9" ht="20.05" customHeight="1">
      <c r="B9" s="35"/>
      <c r="C9" s="21">
        <v>35.89</v>
      </c>
      <c r="D9" s="25"/>
      <c r="E9" s="22">
        <v>23</v>
      </c>
      <c r="F9" s="22">
        <v>-5.81</v>
      </c>
      <c r="G9" s="22">
        <f>AVERAGE(F6:F9)</f>
        <v>-11.4225</v>
      </c>
      <c r="H9" s="16">
        <f>C9/C8-1</f>
        <v>0.263732394366197</v>
      </c>
      <c r="I9" s="16">
        <f>(F9+E9-C9)/C9</f>
        <v>-0.521036500417944</v>
      </c>
      <c r="J9" s="26"/>
      <c r="K9" s="26"/>
    </row>
    <row r="10" ht="20.05" customHeight="1">
      <c r="B10" s="35"/>
      <c r="C10" s="21">
        <v>35.22</v>
      </c>
      <c r="D10" s="25"/>
      <c r="E10" s="22">
        <v>29</v>
      </c>
      <c r="F10" s="22">
        <v>-5.12</v>
      </c>
      <c r="G10" s="22">
        <f>AVERAGE(F7:F10)</f>
        <v>-10.195</v>
      </c>
      <c r="H10" s="16">
        <f>C10/C9-1</f>
        <v>-0.0186681526887712</v>
      </c>
      <c r="I10" s="16">
        <f>(F10+E10-C10)/C10</f>
        <v>-0.321976149914821</v>
      </c>
      <c r="J10" s="26"/>
      <c r="K10" s="26"/>
    </row>
    <row r="11" ht="20.05" customHeight="1">
      <c r="B11" s="35"/>
      <c r="C11" s="21">
        <v>41.158</v>
      </c>
      <c r="D11" s="25"/>
      <c r="E11" s="22">
        <v>30</v>
      </c>
      <c r="F11" s="22">
        <v>-9.48</v>
      </c>
      <c r="G11" s="22">
        <f>AVERAGE(F8:F11)</f>
        <v>-7.45</v>
      </c>
      <c r="H11" s="16">
        <f>C11/C10-1</f>
        <v>0.168597387847814</v>
      </c>
      <c r="I11" s="16">
        <f>(F11+E11-C11)/C11</f>
        <v>-0.501433500170076</v>
      </c>
      <c r="J11" s="26"/>
      <c r="K11" s="26"/>
    </row>
    <row r="12" ht="20.05" customHeight="1">
      <c r="B12" s="36">
        <v>2017</v>
      </c>
      <c r="C12" s="21">
        <v>167.26</v>
      </c>
      <c r="D12" s="25"/>
      <c r="E12" s="22">
        <v>141</v>
      </c>
      <c r="F12" s="22">
        <v>-49.2</v>
      </c>
      <c r="G12" s="22">
        <f>AVERAGE(F9:F12)</f>
        <v>-17.4025</v>
      </c>
      <c r="H12" s="16">
        <f>C12/C11-1</f>
        <v>3.06385149910103</v>
      </c>
      <c r="I12" s="16">
        <f>(F12+E12-C12)/C12</f>
        <v>-0.451153892143967</v>
      </c>
      <c r="J12" s="26"/>
      <c r="K12" s="16">
        <f>('Cashflow'!F12+'Cashflow'!D12-'Cashflow'!C12)/'Cashflow'!C12</f>
        <v>-1.34633885622662</v>
      </c>
    </row>
    <row r="13" ht="20.05" customHeight="1">
      <c r="B13" s="35"/>
      <c r="C13" s="21">
        <v>169.7</v>
      </c>
      <c r="D13" s="25"/>
      <c r="E13" s="22">
        <v>121</v>
      </c>
      <c r="F13" s="22">
        <v>9.31</v>
      </c>
      <c r="G13" s="22">
        <f>AVERAGE(F10:F13)</f>
        <v>-13.6225</v>
      </c>
      <c r="H13" s="16">
        <f>C13/C12-1</f>
        <v>0.0145880664833194</v>
      </c>
      <c r="I13" s="16">
        <f>(F13+E13-C13)/C13</f>
        <v>-0.232115497937537</v>
      </c>
      <c r="J13" s="26"/>
      <c r="K13" s="16">
        <f>('Cashflow'!F13+'Cashflow'!D13-'Cashflow'!C13)/'Cashflow'!C13</f>
        <v>-0.639496355202121</v>
      </c>
    </row>
    <row r="14" ht="20.05" customHeight="1">
      <c r="B14" s="35"/>
      <c r="C14" s="21">
        <v>164.25</v>
      </c>
      <c r="D14" s="25"/>
      <c r="E14" s="22">
        <v>126</v>
      </c>
      <c r="F14" s="22">
        <v>-38.88</v>
      </c>
      <c r="G14" s="22">
        <f>AVERAGE(F11:F14)</f>
        <v>-22.0625</v>
      </c>
      <c r="H14" s="16">
        <f>C14/C13-1</f>
        <v>-0.0321154979375368</v>
      </c>
      <c r="I14" s="16">
        <f>(F14+E14-C14)/C14</f>
        <v>-0.46958904109589</v>
      </c>
      <c r="J14" s="26"/>
      <c r="K14" s="16">
        <f>('Cashflow'!F14+'Cashflow'!D14-'Cashflow'!C14)/'Cashflow'!C14</f>
        <v>-2.5936974789916</v>
      </c>
    </row>
    <row r="15" ht="20.05" customHeight="1">
      <c r="B15" s="35"/>
      <c r="C15" s="21">
        <v>206.76</v>
      </c>
      <c r="D15" s="25"/>
      <c r="E15" s="22">
        <v>144</v>
      </c>
      <c r="F15" s="22">
        <v>-40.23</v>
      </c>
      <c r="G15" s="22">
        <f>AVERAGE(F12:F15)</f>
        <v>-29.75</v>
      </c>
      <c r="H15" s="16">
        <f>C15/C14-1</f>
        <v>0.258812785388128</v>
      </c>
      <c r="I15" s="16">
        <f>(F15+E15-C15)/C15</f>
        <v>-0.498113755078352</v>
      </c>
      <c r="J15" s="26"/>
      <c r="K15" s="16">
        <f>('Cashflow'!F15+'Cashflow'!D15-'Cashflow'!C15)/'Cashflow'!C15</f>
        <v>-1.84034383954155</v>
      </c>
    </row>
    <row r="16" ht="20.05" customHeight="1">
      <c r="B16" s="36">
        <v>2018</v>
      </c>
      <c r="C16" s="21">
        <v>193.58</v>
      </c>
      <c r="D16" s="25"/>
      <c r="E16" s="22">
        <v>132.77</v>
      </c>
      <c r="F16" s="22">
        <v>-26.84</v>
      </c>
      <c r="G16" s="22">
        <f>AVERAGE(F13:F16)</f>
        <v>-24.16</v>
      </c>
      <c r="H16" s="16">
        <f>C16/C15-1</f>
        <v>-0.06374540530083191</v>
      </c>
      <c r="I16" s="16">
        <f>(F16+E16-C16)/C16</f>
        <v>-0.452784378551503</v>
      </c>
      <c r="J16" s="16">
        <f>AVERAGE(K13:K16)</f>
        <v>-1.51407616600663</v>
      </c>
      <c r="K16" s="16">
        <f>('Cashflow'!F16+'Cashflow'!D16-'Cashflow'!C16)/'Cashflow'!C16</f>
        <v>-0.982766990291262</v>
      </c>
    </row>
    <row r="17" ht="20.05" customHeight="1">
      <c r="B17" s="35"/>
      <c r="C17" s="21">
        <v>206.42</v>
      </c>
      <c r="D17" s="25"/>
      <c r="E17" s="22">
        <v>6.8</v>
      </c>
      <c r="F17" s="22">
        <v>95.462</v>
      </c>
      <c r="G17" s="22">
        <f>AVERAGE(F14:F17)</f>
        <v>-2.622</v>
      </c>
      <c r="H17" s="16">
        <f>C17/C16-1</f>
        <v>0.0663291662361814</v>
      </c>
      <c r="I17" s="16">
        <f>(F17+E17-C17)/C17</f>
        <v>-0.504592578238543</v>
      </c>
      <c r="J17" s="16">
        <f>AVERAGE(K14:K17)</f>
        <v>-1.54597692053645</v>
      </c>
      <c r="K17" s="16">
        <f>('Cashflow'!F17+'Cashflow'!D17-'Cashflow'!C17)/'Cashflow'!C17</f>
        <v>-0.767099373321397</v>
      </c>
    </row>
    <row r="18" ht="20.05" customHeight="1">
      <c r="B18" s="35"/>
      <c r="C18" s="21">
        <v>185.05</v>
      </c>
      <c r="D18" s="25"/>
      <c r="E18" s="22">
        <v>88.84</v>
      </c>
      <c r="F18" s="22">
        <v>-36.444</v>
      </c>
      <c r="G18" s="22">
        <f>AVERAGE(F15:F18)</f>
        <v>-2.013</v>
      </c>
      <c r="H18" s="16">
        <f>C18/C17-1</f>
        <v>-0.103526790039725</v>
      </c>
      <c r="I18" s="16">
        <f>(F18+E18-C18)/C18</f>
        <v>-0.716854904079978</v>
      </c>
      <c r="J18" s="16">
        <f>AVERAGE(K15:K18)</f>
        <v>-1.10324161927005</v>
      </c>
      <c r="K18" s="16">
        <f>('Cashflow'!F18+'Cashflow'!D18-'Cashflow'!C18)/'Cashflow'!C18</f>
        <v>-0.822756273925989</v>
      </c>
    </row>
    <row r="19" ht="20.05" customHeight="1">
      <c r="B19" s="35"/>
      <c r="C19" s="21">
        <v>216.11</v>
      </c>
      <c r="D19" s="25"/>
      <c r="E19" s="22">
        <v>136.33</v>
      </c>
      <c r="F19" s="22">
        <v>3.422</v>
      </c>
      <c r="G19" s="22">
        <f>AVERAGE(F16:F19)</f>
        <v>8.9</v>
      </c>
      <c r="H19" s="16">
        <f>C19/C18-1</f>
        <v>0.167846527965415</v>
      </c>
      <c r="I19" s="16">
        <f>(F19+E19-C19)/C19</f>
        <v>-0.353329323029938</v>
      </c>
      <c r="J19" s="16">
        <f>AVERAGE(K16:K19)</f>
        <v>-0.583170903287101</v>
      </c>
      <c r="K19" s="16">
        <f>('Cashflow'!F19+'Cashflow'!D19-'Cashflow'!C19)/'Cashflow'!C19</f>
        <v>0.239939024390244</v>
      </c>
    </row>
    <row r="20" ht="20.05" customHeight="1">
      <c r="B20" s="36">
        <v>2019</v>
      </c>
      <c r="C20" s="21">
        <v>198.394</v>
      </c>
      <c r="D20" s="25"/>
      <c r="E20" s="22">
        <v>78.96899999999999</v>
      </c>
      <c r="F20" s="22">
        <v>8.662000000000001</v>
      </c>
      <c r="G20" s="22">
        <f>AVERAGE(F17:F20)</f>
        <v>17.7755</v>
      </c>
      <c r="H20" s="16">
        <f>C20/C19-1</f>
        <v>-0.0819767710887974</v>
      </c>
      <c r="I20" s="16">
        <f>(F20+E20-C20)/C20</f>
        <v>-0.55829813401615</v>
      </c>
      <c r="J20" s="16">
        <f>AVERAGE(K17:K20)</f>
        <v>-0.562584959825531</v>
      </c>
      <c r="K20" s="16">
        <f>('Cashflow'!F20+'Cashflow'!D20-'Cashflow'!C20)/'Cashflow'!C20</f>
        <v>-0.900423216444982</v>
      </c>
    </row>
    <row r="21" ht="20.05" customHeight="1">
      <c r="B21" s="35"/>
      <c r="C21" s="21">
        <v>201.596</v>
      </c>
      <c r="D21" s="25"/>
      <c r="E21" s="22">
        <v>83.971</v>
      </c>
      <c r="F21" s="22">
        <v>3.457</v>
      </c>
      <c r="G21" s="22">
        <f>AVERAGE(F18:F21)</f>
        <v>-5.22575</v>
      </c>
      <c r="H21" s="16">
        <f>C21/C20-1</f>
        <v>0.0161396009959979</v>
      </c>
      <c r="I21" s="16">
        <f>(F21+E21-C21)/C21</f>
        <v>-0.566320760332546</v>
      </c>
      <c r="J21" s="16">
        <f>AVERAGE(K18:K21)</f>
        <v>-0.465805060883453</v>
      </c>
      <c r="K21" s="16">
        <f>('Cashflow'!F21+'Cashflow'!D21-'Cashflow'!C21)/'Cashflow'!C21</f>
        <v>-0.379979777553084</v>
      </c>
    </row>
    <row r="22" ht="20.05" customHeight="1">
      <c r="B22" s="35"/>
      <c r="C22" s="21">
        <v>202.82</v>
      </c>
      <c r="D22" s="25"/>
      <c r="E22" s="22">
        <v>94.79000000000001</v>
      </c>
      <c r="F22" s="22">
        <v>0.412</v>
      </c>
      <c r="G22" s="22">
        <f>AVERAGE(F19:F22)</f>
        <v>3.98825</v>
      </c>
      <c r="H22" s="16">
        <f>C22/C21-1</f>
        <v>0.0060715490386714</v>
      </c>
      <c r="I22" s="16">
        <f>(F22+E22-C22)/C22</f>
        <v>-0.530608421260231</v>
      </c>
      <c r="J22" s="16">
        <f>AVERAGE(K19:K22)</f>
        <v>-0.493923204607226</v>
      </c>
      <c r="K22" s="16">
        <f>('Cashflow'!F22+'Cashflow'!D22-'Cashflow'!C22)/'Cashflow'!C22</f>
        <v>-0.935228848821082</v>
      </c>
    </row>
    <row r="23" ht="20.05" customHeight="1">
      <c r="B23" s="35"/>
      <c r="C23" s="21">
        <v>228.96</v>
      </c>
      <c r="D23" s="25"/>
      <c r="E23" s="22">
        <v>85.59999999999999</v>
      </c>
      <c r="F23" s="22">
        <v>-3.631</v>
      </c>
      <c r="G23" s="22">
        <f>AVERAGE(F20:F23)</f>
        <v>2.225</v>
      </c>
      <c r="H23" s="16">
        <f>C23/C22-1</f>
        <v>0.12888275318016</v>
      </c>
      <c r="I23" s="16">
        <f>(F23+E23-C23)/C23</f>
        <v>-0.6419942348008389</v>
      </c>
      <c r="J23" s="16">
        <f>AVERAGE(K20:K23)</f>
        <v>-0.710364081442629</v>
      </c>
      <c r="K23" s="16">
        <f>('Cashflow'!F23+'Cashflow'!D23-'Cashflow'!C23)/'Cashflow'!C23</f>
        <v>-0.6258244829513691</v>
      </c>
    </row>
    <row r="24" ht="20.05" customHeight="1">
      <c r="B24" s="36">
        <v>2020</v>
      </c>
      <c r="C24" s="21">
        <v>221.038</v>
      </c>
      <c r="D24" s="25"/>
      <c r="E24" s="22">
        <v>106.37</v>
      </c>
      <c r="F24" s="22">
        <v>12.066</v>
      </c>
      <c r="G24" s="22">
        <f>AVERAGE(F21:F24)</f>
        <v>3.076</v>
      </c>
      <c r="H24" s="16">
        <f>C24/C23-1</f>
        <v>-0.034599930118798</v>
      </c>
      <c r="I24" s="16">
        <f>(F24+E24-C24)/C24</f>
        <v>-0.464182629231173</v>
      </c>
      <c r="J24" s="16">
        <f>AVERAGE(K21:K24)</f>
        <v>-0.774725792401711</v>
      </c>
      <c r="K24" s="16">
        <f>('Cashflow'!F24+'Cashflow'!D24-'Cashflow'!C24)/'Cashflow'!C24</f>
        <v>-1.15787006028131</v>
      </c>
    </row>
    <row r="25" ht="20.05" customHeight="1">
      <c r="B25" s="35"/>
      <c r="C25" s="21">
        <f>509-C24</f>
        <v>287.962</v>
      </c>
      <c r="D25" s="18">
        <v>211.6758</v>
      </c>
      <c r="E25" s="22">
        <f>223-E24</f>
        <v>116.63</v>
      </c>
      <c r="F25" s="22">
        <f>-21.8-F24</f>
        <v>-33.866</v>
      </c>
      <c r="G25" s="22">
        <f>AVERAGE(F22:F25)</f>
        <v>-6.25475</v>
      </c>
      <c r="H25" s="16">
        <f>C25/C24-1</f>
        <v>0.302771469159149</v>
      </c>
      <c r="I25" s="16">
        <f>(F25+E25-C25)/C25</f>
        <v>-0.71258707746161</v>
      </c>
      <c r="J25" s="16">
        <f>AVERAGE(K22:K25)</f>
        <v>-0.787302790459484</v>
      </c>
      <c r="K25" s="16">
        <f>('Cashflow'!F25+'Cashflow'!D25-'Cashflow'!C25)/'Cashflow'!C25</f>
        <v>-0.430287769784173</v>
      </c>
    </row>
    <row r="26" ht="20.05" customHeight="1">
      <c r="B26" s="35"/>
      <c r="C26" s="21">
        <f>800.753-SUM(C24:C25)</f>
        <v>291.753</v>
      </c>
      <c r="D26" s="18">
        <v>290.0326</v>
      </c>
      <c r="E26" s="22">
        <f>363-SUM(E24:E25)</f>
        <v>140</v>
      </c>
      <c r="F26" s="22">
        <f>-83.183-SUM(F24:F25)</f>
        <v>-61.383</v>
      </c>
      <c r="G26" s="22">
        <f>AVERAGE(F23:F26)</f>
        <v>-21.7035</v>
      </c>
      <c r="H26" s="16">
        <f>C26/C25-1</f>
        <v>0.0131649314840153</v>
      </c>
      <c r="I26" s="16">
        <f>(F26+E26-C26)/C26</f>
        <v>-0.730535761414621</v>
      </c>
      <c r="J26" s="16">
        <f>AVERAGE(K23:K26)</f>
        <v>-0.721899272185612</v>
      </c>
      <c r="K26" s="16">
        <f>('Cashflow'!F26+'Cashflow'!D26-'Cashflow'!C26)/'Cashflow'!C26</f>
        <v>-0.673614775725594</v>
      </c>
    </row>
    <row r="27" ht="20.05" customHeight="1">
      <c r="B27" s="35"/>
      <c r="C27" s="21">
        <v>295.247</v>
      </c>
      <c r="D27" s="18">
        <v>300.50559</v>
      </c>
      <c r="E27" s="22">
        <v>123</v>
      </c>
      <c r="F27" s="22">
        <v>-425.817</v>
      </c>
      <c r="G27" s="22">
        <f>AVERAGE(F24:F27)</f>
        <v>-127.25</v>
      </c>
      <c r="H27" s="16">
        <f>C27/C26-1</f>
        <v>0.0119758837098505</v>
      </c>
      <c r="I27" s="16">
        <f>(F27+E27-C27)/C27</f>
        <v>-2.02563954925876</v>
      </c>
      <c r="J27" s="16">
        <f>AVERAGE(K24:K27)</f>
        <v>-0.958683026837177</v>
      </c>
      <c r="K27" s="16">
        <f>('Cashflow'!F27+'Cashflow'!D27-'Cashflow'!C27)/'Cashflow'!C27</f>
        <v>-1.57295950155763</v>
      </c>
    </row>
    <row r="28" ht="20.05" customHeight="1">
      <c r="B28" s="36">
        <v>2021</v>
      </c>
      <c r="C28" s="21">
        <v>288</v>
      </c>
      <c r="D28" s="18">
        <v>297.58806</v>
      </c>
      <c r="E28" s="22">
        <f>66.2+47.3+0.4</f>
        <v>113.9</v>
      </c>
      <c r="F28" s="22">
        <v>-165.8</v>
      </c>
      <c r="G28" s="22">
        <f>AVERAGE(F25:F28)</f>
        <v>-171.7165</v>
      </c>
      <c r="H28" s="16">
        <f>C28/C27-1</f>
        <v>-0.0245455499971211</v>
      </c>
      <c r="I28" s="16">
        <f>(F28+E28-C28)/C28</f>
        <v>-1.18020833333333</v>
      </c>
      <c r="J28" s="16">
        <f>AVERAGE(K25:K28)</f>
        <v>-1.04869651765235</v>
      </c>
      <c r="K28" s="16">
        <f>('Cashflow'!F28+'Cashflow'!D28-'Cashflow'!C28)/'Cashflow'!C28</f>
        <v>-1.517924023542</v>
      </c>
    </row>
    <row r="29" ht="20.05" customHeight="1">
      <c r="B29" s="35"/>
      <c r="C29" s="21">
        <f>590-C28</f>
        <v>302</v>
      </c>
      <c r="D29" s="18">
        <v>302.4</v>
      </c>
      <c r="E29" s="18">
        <f>234-E28</f>
        <v>120.1</v>
      </c>
      <c r="F29" s="18">
        <f>-239-F28</f>
        <v>-73.2</v>
      </c>
      <c r="G29" s="22">
        <f>AVERAGE(F26:F29)</f>
        <v>-181.55</v>
      </c>
      <c r="H29" s="16">
        <f>C29/C28-1</f>
        <v>0.0486111111111111</v>
      </c>
      <c r="I29" s="16">
        <f>(F29+E29-C29)/C29</f>
        <v>-0.844701986754967</v>
      </c>
      <c r="J29" s="16">
        <f>AVERAGE(K26:K29)</f>
        <v>-1.04986063468586</v>
      </c>
      <c r="K29" s="16">
        <f>('Cashflow'!F29+'Cashflow'!D29-'Cashflow'!C29)/'Cashflow'!C29</f>
        <v>-0.434944237918216</v>
      </c>
    </row>
    <row r="30" ht="20.05" customHeight="1">
      <c r="B30" s="35"/>
      <c r="C30" s="21">
        <f>891.3-SUM(C28:C29)</f>
        <v>301.3</v>
      </c>
      <c r="D30" s="25">
        <v>305.02</v>
      </c>
      <c r="E30" s="22">
        <f>380.6-SUM(E28:E29)</f>
        <v>146.6</v>
      </c>
      <c r="F30" s="22">
        <f>-292.5-SUM(F28:F29)</f>
        <v>-53.5</v>
      </c>
      <c r="G30" s="22">
        <f>AVERAGE(F27:F30)</f>
        <v>-179.57925</v>
      </c>
      <c r="H30" s="16">
        <f>C30/C29-1</f>
        <v>-0.00231788079470199</v>
      </c>
      <c r="I30" s="16">
        <f>(F30+E30-C30)/C30</f>
        <v>-0.691005642217059</v>
      </c>
      <c r="J30" s="16">
        <f>AVERAGE(K27:K30)</f>
        <v>-1.09076145203266</v>
      </c>
      <c r="K30" s="16">
        <f>('Cashflow'!F30+'Cashflow'!D30-'Cashflow'!C30)/'Cashflow'!C30</f>
        <v>-0.837218045112782</v>
      </c>
    </row>
    <row r="31" ht="20.05" customHeight="1">
      <c r="B31" s="35"/>
      <c r="C31" s="21"/>
      <c r="D31" s="25">
        <f>'Model'!C6</f>
        <v>334.443</v>
      </c>
      <c r="E31" s="25"/>
      <c r="F31" s="25"/>
      <c r="G31" s="18">
        <f>'Model'!F21</f>
        <v>-20.982384941739</v>
      </c>
      <c r="H31" s="12"/>
      <c r="I31" s="12">
        <f>'Model'!C7</f>
        <v>-0.6419942348008389</v>
      </c>
      <c r="J31" s="12"/>
      <c r="K31" s="12"/>
    </row>
    <row r="32" ht="20.05" customHeight="1">
      <c r="B32" s="36">
        <v>2022</v>
      </c>
      <c r="C32" s="21"/>
      <c r="D32" s="18">
        <f>'Model'!D6</f>
        <v>324.40971</v>
      </c>
      <c r="E32" s="25"/>
      <c r="F32" s="25"/>
      <c r="G32" s="18"/>
      <c r="H32" s="12"/>
      <c r="I32" s="12"/>
      <c r="J32" s="12"/>
      <c r="K32" s="12"/>
    </row>
    <row r="33" ht="20.05" customHeight="1">
      <c r="B33" s="35"/>
      <c r="C33" s="21"/>
      <c r="D33" s="18">
        <f>'Model'!E6</f>
        <v>337.3860984</v>
      </c>
      <c r="E33" s="25"/>
      <c r="F33" s="25"/>
      <c r="G33" s="18"/>
      <c r="H33" s="12"/>
      <c r="I33" s="12"/>
      <c r="J33" s="12"/>
      <c r="K33" s="12"/>
    </row>
    <row r="34" ht="20.05" customHeight="1">
      <c r="B34" s="35"/>
      <c r="C34" s="21"/>
      <c r="D34" s="18">
        <f>'Model'!F6</f>
        <v>350.881542336</v>
      </c>
      <c r="E34" s="25"/>
      <c r="F34" s="25"/>
      <c r="G34" s="18"/>
      <c r="H34" s="12"/>
      <c r="I34" s="12"/>
      <c r="J34" s="12"/>
      <c r="K34" s="12"/>
    </row>
    <row r="36" ht="27.65" customHeight="1">
      <c r="L36" t="s" s="2">
        <v>45</v>
      </c>
      <c r="M36" s="2"/>
    </row>
    <row r="37" ht="32.25" customHeight="1">
      <c r="L37" s="5"/>
      <c r="M37" t="s" s="38">
        <v>46</v>
      </c>
    </row>
    <row r="38" ht="20.25" customHeight="1">
      <c r="L38" t="s" s="39">
        <v>47</v>
      </c>
      <c r="M38" s="40">
        <v>5568</v>
      </c>
    </row>
    <row r="39" ht="20.05" customHeight="1">
      <c r="L39" t="s" s="41"/>
      <c r="M39" s="17">
        <v>5829</v>
      </c>
    </row>
    <row r="40" ht="20.05" customHeight="1">
      <c r="L40" t="s" s="41"/>
      <c r="M40" s="17">
        <v>5900</v>
      </c>
    </row>
    <row r="41" ht="20.05" customHeight="1">
      <c r="L41" t="s" s="41"/>
      <c r="M41" s="17">
        <v>6355</v>
      </c>
    </row>
    <row r="42" ht="20.05" customHeight="1">
      <c r="L42" t="s" s="41">
        <v>48</v>
      </c>
      <c r="M42" s="17">
        <v>6188</v>
      </c>
    </row>
    <row r="43" ht="20.05" customHeight="1">
      <c r="L43" t="s" s="41"/>
      <c r="M43" s="17">
        <v>5799</v>
      </c>
    </row>
    <row r="44" ht="20.05" customHeight="1">
      <c r="L44" t="s" s="41"/>
      <c r="M44" s="17">
        <v>5976</v>
      </c>
    </row>
    <row r="45" ht="20.05" customHeight="1">
      <c r="L45" t="s" s="41"/>
      <c r="M45" s="17">
        <v>6194</v>
      </c>
    </row>
    <row r="46" ht="20.05" customHeight="1">
      <c r="L46" t="s" s="41">
        <v>49</v>
      </c>
      <c r="M46" s="17">
        <v>6468</v>
      </c>
    </row>
    <row r="47" ht="20.05" customHeight="1">
      <c r="L47" t="s" s="41"/>
      <c r="M47" s="17">
        <v>6358</v>
      </c>
    </row>
    <row r="48" ht="20.05" customHeight="1">
      <c r="L48" t="s" s="41"/>
      <c r="M48" s="17">
        <v>6169</v>
      </c>
    </row>
    <row r="49" ht="20.05" customHeight="1">
      <c r="L49" t="s" s="41"/>
      <c r="M49" s="17">
        <v>6299</v>
      </c>
    </row>
    <row r="50" ht="20.05" customHeight="1">
      <c r="L50" t="s" s="41">
        <v>50</v>
      </c>
      <c r="M50" s="17">
        <v>4538</v>
      </c>
    </row>
    <row r="51" ht="20.05" customHeight="1">
      <c r="L51" t="s" s="41"/>
      <c r="M51" s="17">
        <v>4914</v>
      </c>
    </row>
    <row r="52" ht="20.05" customHeight="1">
      <c r="L52" t="s" s="41"/>
      <c r="M52" s="17">
        <v>4970</v>
      </c>
    </row>
    <row r="53" ht="20.05" customHeight="1">
      <c r="L53" t="s" s="41"/>
      <c r="M53" s="17">
        <v>5979</v>
      </c>
    </row>
    <row r="54" ht="20.05" customHeight="1">
      <c r="L54" t="s" s="41">
        <v>51</v>
      </c>
      <c r="M54" s="17">
        <v>6316</v>
      </c>
    </row>
  </sheetData>
  <mergeCells count="2">
    <mergeCell ref="B2:K2"/>
    <mergeCell ref="L36:M36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L3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2.3125" style="42" customWidth="1"/>
    <col min="2" max="2" width="7.94531" style="42" customWidth="1"/>
    <col min="3" max="12" width="11.0078" style="42" customWidth="1"/>
    <col min="13" max="16384" width="16.3516" style="42" customWidth="1"/>
  </cols>
  <sheetData>
    <row r="1" ht="70" customHeight="1"/>
    <row r="2" ht="27.65" customHeight="1">
      <c r="B2" t="s" s="2">
        <v>3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ht="32.25" customHeight="1">
      <c r="B3" t="s" s="4">
        <v>1</v>
      </c>
      <c r="C3" t="s" s="4">
        <v>52</v>
      </c>
      <c r="D3" t="s" s="4">
        <v>8</v>
      </c>
      <c r="E3" t="s" s="4">
        <v>53</v>
      </c>
      <c r="F3" t="s" s="4">
        <v>54</v>
      </c>
      <c r="G3" t="s" s="4">
        <v>11</v>
      </c>
      <c r="H3" t="s" s="4">
        <v>12</v>
      </c>
      <c r="I3" t="s" s="4">
        <v>10</v>
      </c>
      <c r="J3" t="s" s="4">
        <v>55</v>
      </c>
      <c r="K3" t="s" s="4">
        <v>3</v>
      </c>
      <c r="L3" t="s" s="4">
        <v>56</v>
      </c>
    </row>
    <row r="4" ht="20.25" customHeight="1">
      <c r="B4" s="29">
        <v>2015</v>
      </c>
      <c r="C4" s="30"/>
      <c r="D4" s="32">
        <v>-18.404</v>
      </c>
      <c r="E4" s="32">
        <v>-31.79</v>
      </c>
      <c r="F4" s="32"/>
      <c r="G4" s="32"/>
      <c r="H4" s="32"/>
      <c r="I4" s="32">
        <v>92.51600000000001</v>
      </c>
      <c r="J4" s="32">
        <f>F4+D4+E4</f>
        <v>-50.194</v>
      </c>
      <c r="K4" s="31"/>
      <c r="L4" s="32">
        <f>-(I4-F4)</f>
        <v>-92.51600000000001</v>
      </c>
    </row>
    <row r="5" ht="20.05" customHeight="1">
      <c r="B5" s="35"/>
      <c r="C5" s="21"/>
      <c r="D5" s="22">
        <v>35.815</v>
      </c>
      <c r="E5" s="22">
        <v>-24.264</v>
      </c>
      <c r="F5" s="22"/>
      <c r="G5" s="22"/>
      <c r="H5" s="22"/>
      <c r="I5" s="22">
        <v>-1.021</v>
      </c>
      <c r="J5" s="22">
        <f>F5+D5+E5</f>
        <v>11.551</v>
      </c>
      <c r="K5" s="25"/>
      <c r="L5" s="22">
        <f>-(I5-F5)+L4</f>
        <v>-91.495</v>
      </c>
    </row>
    <row r="6" ht="20.05" customHeight="1">
      <c r="B6" s="35"/>
      <c r="C6" s="21"/>
      <c r="D6" s="22">
        <v>-134.411</v>
      </c>
      <c r="E6" s="22">
        <v>-24.645</v>
      </c>
      <c r="F6" s="22"/>
      <c r="G6" s="22"/>
      <c r="H6" s="22"/>
      <c r="I6" s="22">
        <v>442.516</v>
      </c>
      <c r="J6" s="22">
        <f>F6+D6+E6</f>
        <v>-159.056</v>
      </c>
      <c r="K6" s="25"/>
      <c r="L6" s="22">
        <f>-(I6-F6)+L5</f>
        <v>-534.011</v>
      </c>
    </row>
    <row r="7" ht="20.05" customHeight="1">
      <c r="B7" s="35"/>
      <c r="C7" s="21"/>
      <c r="D7" s="22">
        <v>105.849</v>
      </c>
      <c r="E7" s="22">
        <v>-21.777</v>
      </c>
      <c r="F7" s="22"/>
      <c r="G7" s="22"/>
      <c r="H7" s="22"/>
      <c r="I7" s="22">
        <v>-111.391</v>
      </c>
      <c r="J7" s="22">
        <f>F7+D7+E7</f>
        <v>84.072</v>
      </c>
      <c r="K7" s="25"/>
      <c r="L7" s="22">
        <f>-(I7-F7)+L6</f>
        <v>-422.62</v>
      </c>
    </row>
    <row r="8" ht="20.05" customHeight="1">
      <c r="B8" s="36">
        <v>2016</v>
      </c>
      <c r="C8" s="21">
        <v>16.9</v>
      </c>
      <c r="D8" s="22">
        <v>-8.140000000000001</v>
      </c>
      <c r="E8" s="22">
        <v>-13.5</v>
      </c>
      <c r="F8" s="22"/>
      <c r="G8" s="22"/>
      <c r="H8" s="22"/>
      <c r="I8" s="22">
        <v>-3.83</v>
      </c>
      <c r="J8" s="22">
        <f>F8+D8+E8</f>
        <v>-21.64</v>
      </c>
      <c r="K8" s="22">
        <f>AVERAGE(J5:J8)</f>
        <v>-21.26825</v>
      </c>
      <c r="L8" s="22">
        <f>-(I8-F8)+L7</f>
        <v>-418.79</v>
      </c>
    </row>
    <row r="9" ht="20.05" customHeight="1">
      <c r="B9" s="35"/>
      <c r="C9" s="21">
        <v>51.8</v>
      </c>
      <c r="D9" s="22">
        <v>32.89</v>
      </c>
      <c r="E9" s="22">
        <v>-31.44</v>
      </c>
      <c r="F9" s="22"/>
      <c r="G9" s="22"/>
      <c r="H9" s="22"/>
      <c r="I9" s="22">
        <v>-3.77</v>
      </c>
      <c r="J9" s="22">
        <f>F9+D9+E9</f>
        <v>1.45</v>
      </c>
      <c r="K9" s="22">
        <f>AVERAGE(J6:J9)</f>
        <v>-23.7935</v>
      </c>
      <c r="L9" s="22">
        <f>-(I9-F9)+L8</f>
        <v>-415.02</v>
      </c>
    </row>
    <row r="10" ht="20.05" customHeight="1">
      <c r="B10" s="35"/>
      <c r="C10" s="21">
        <v>40.3</v>
      </c>
      <c r="D10" s="22">
        <v>-16.2</v>
      </c>
      <c r="E10" s="22">
        <v>-89.36</v>
      </c>
      <c r="F10" s="25"/>
      <c r="G10" s="22"/>
      <c r="H10" s="22"/>
      <c r="I10" s="22">
        <v>-3.77</v>
      </c>
      <c r="J10" s="22">
        <f>F10+D10+E10</f>
        <v>-105.56</v>
      </c>
      <c r="K10" s="22">
        <f>AVERAGE(J7:J10)</f>
        <v>-10.4195</v>
      </c>
      <c r="L10" s="22">
        <f>-(I10-F10)+L9</f>
        <v>-411.25</v>
      </c>
    </row>
    <row r="11" ht="20.05" customHeight="1">
      <c r="B11" s="35"/>
      <c r="C11" s="21">
        <v>36.6</v>
      </c>
      <c r="D11" s="22">
        <v>-8.218999999999999</v>
      </c>
      <c r="E11" s="22">
        <v>-41.32</v>
      </c>
      <c r="F11" s="25"/>
      <c r="G11" s="22"/>
      <c r="H11" s="22"/>
      <c r="I11" s="22">
        <v>-9.59</v>
      </c>
      <c r="J11" s="22">
        <f>F11+D11+E11</f>
        <v>-49.539</v>
      </c>
      <c r="K11" s="22">
        <f>AVERAGE(J8:J11)</f>
        <v>-43.82225</v>
      </c>
      <c r="L11" s="22">
        <f>-(I11-F11)+L10</f>
        <v>-401.66</v>
      </c>
    </row>
    <row r="12" ht="20.05" customHeight="1">
      <c r="B12" s="36">
        <v>2017</v>
      </c>
      <c r="C12" s="21">
        <v>187.1</v>
      </c>
      <c r="D12" s="22">
        <v>-64.8</v>
      </c>
      <c r="E12" s="22">
        <v>-71.7</v>
      </c>
      <c r="F12" s="25"/>
      <c r="G12" s="22"/>
      <c r="H12" s="22"/>
      <c r="I12" s="22">
        <v>282.9</v>
      </c>
      <c r="J12" s="22">
        <f>F12+D12+E12</f>
        <v>-136.5</v>
      </c>
      <c r="K12" s="22">
        <f>AVERAGE(J9:J12)</f>
        <v>-72.53725</v>
      </c>
      <c r="L12" s="22">
        <f>-(I12-F12)+L11</f>
        <v>-684.5599999999999</v>
      </c>
    </row>
    <row r="13" ht="20.05" customHeight="1">
      <c r="B13" s="35"/>
      <c r="C13" s="21">
        <v>150.9</v>
      </c>
      <c r="D13" s="22">
        <v>54.4</v>
      </c>
      <c r="E13" s="22">
        <v>-38</v>
      </c>
      <c r="F13" s="22"/>
      <c r="G13" s="22"/>
      <c r="H13" s="22"/>
      <c r="I13" s="22">
        <v>31.06</v>
      </c>
      <c r="J13" s="22">
        <f>F13+D13+E13</f>
        <v>16.4</v>
      </c>
      <c r="K13" s="22">
        <f>AVERAGE(J10:J13)</f>
        <v>-68.79975</v>
      </c>
      <c r="L13" s="22">
        <f>-(I13-F13)+L12</f>
        <v>-715.62</v>
      </c>
    </row>
    <row r="14" ht="20.05" customHeight="1">
      <c r="B14" s="35"/>
      <c r="C14" s="21">
        <v>47.6</v>
      </c>
      <c r="D14" s="22">
        <v>-75.86</v>
      </c>
      <c r="E14" s="22">
        <v>-11.99</v>
      </c>
      <c r="F14" s="25"/>
      <c r="G14" s="22"/>
      <c r="H14" s="22"/>
      <c r="I14" s="22">
        <v>28.486</v>
      </c>
      <c r="J14" s="22">
        <f>F14+D14+E14</f>
        <v>-87.84999999999999</v>
      </c>
      <c r="K14" s="22">
        <f>AVERAGE(J11:J14)</f>
        <v>-64.37224999999999</v>
      </c>
      <c r="L14" s="22">
        <f>-(I14-F14)+L13</f>
        <v>-744.106</v>
      </c>
    </row>
    <row r="15" ht="20.05" customHeight="1">
      <c r="B15" s="35"/>
      <c r="C15" s="21">
        <v>174.5</v>
      </c>
      <c r="D15" s="22">
        <v>-102.64</v>
      </c>
      <c r="E15" s="22">
        <v>-197.13</v>
      </c>
      <c r="F15" s="22">
        <v>-44</v>
      </c>
      <c r="G15" s="22"/>
      <c r="H15" s="22"/>
      <c r="I15" s="22">
        <v>382.354</v>
      </c>
      <c r="J15" s="22">
        <f>F15+D15+E15</f>
        <v>-343.77</v>
      </c>
      <c r="K15" s="22">
        <f>AVERAGE(J12:J15)</f>
        <v>-137.93</v>
      </c>
      <c r="L15" s="22">
        <f>-(I15-F15)+L14</f>
        <v>-1170.46</v>
      </c>
    </row>
    <row r="16" ht="20.05" customHeight="1">
      <c r="B16" s="36">
        <v>2018</v>
      </c>
      <c r="C16" s="21">
        <v>123.6</v>
      </c>
      <c r="D16" s="22">
        <v>18.13</v>
      </c>
      <c r="E16" s="22">
        <v>-258.8</v>
      </c>
      <c r="F16" s="22">
        <v>-16</v>
      </c>
      <c r="G16" s="22"/>
      <c r="H16" s="22"/>
      <c r="I16" s="22">
        <v>246.7</v>
      </c>
      <c r="J16" s="22">
        <f>F16+D16+E16</f>
        <v>-256.67</v>
      </c>
      <c r="K16" s="22">
        <f>AVERAGE(J13:J16)</f>
        <v>-167.9725</v>
      </c>
      <c r="L16" s="22">
        <f>-(I16-F16)+L15</f>
        <v>-1433.16</v>
      </c>
    </row>
    <row r="17" ht="20.05" customHeight="1">
      <c r="B17" s="35"/>
      <c r="C17" s="21">
        <v>223.4</v>
      </c>
      <c r="D17" s="22">
        <v>86.03</v>
      </c>
      <c r="E17" s="22">
        <v>-275.7</v>
      </c>
      <c r="F17" s="22">
        <v>-34</v>
      </c>
      <c r="G17" s="22"/>
      <c r="H17" s="22"/>
      <c r="I17" s="22">
        <v>313.65</v>
      </c>
      <c r="J17" s="22">
        <f>F17+D17+E17</f>
        <v>-223.67</v>
      </c>
      <c r="K17" s="22">
        <f>AVERAGE(J14:J17)</f>
        <v>-227.99</v>
      </c>
      <c r="L17" s="22">
        <f>-(I17-F17)+L16</f>
        <v>-1780.81</v>
      </c>
    </row>
    <row r="18" ht="20.05" customHeight="1">
      <c r="B18" s="35"/>
      <c r="C18" s="21">
        <v>235.1</v>
      </c>
      <c r="D18" s="22">
        <v>81.67</v>
      </c>
      <c r="E18" s="22">
        <v>-209.5</v>
      </c>
      <c r="F18" s="22">
        <v>-40</v>
      </c>
      <c r="G18" s="22"/>
      <c r="H18" s="22"/>
      <c r="I18" s="22">
        <v>258.28</v>
      </c>
      <c r="J18" s="22">
        <f>F18+D18+E18</f>
        <v>-167.83</v>
      </c>
      <c r="K18" s="22">
        <f>AVERAGE(J15:J18)</f>
        <v>-247.985</v>
      </c>
      <c r="L18" s="22">
        <f>-(I18-F18)+L17</f>
        <v>-2079.09</v>
      </c>
    </row>
    <row r="19" ht="20.05" customHeight="1">
      <c r="B19" s="35"/>
      <c r="C19" s="21">
        <v>98.40000000000001</v>
      </c>
      <c r="D19" s="22">
        <v>195.01</v>
      </c>
      <c r="E19" s="22">
        <v>-271.18</v>
      </c>
      <c r="F19" s="22">
        <v>-73</v>
      </c>
      <c r="G19" s="22"/>
      <c r="H19" s="22"/>
      <c r="I19" s="22">
        <v>-102.19</v>
      </c>
      <c r="J19" s="22">
        <f>F19+D19+E19</f>
        <v>-149.17</v>
      </c>
      <c r="K19" s="22">
        <f>AVERAGE(J16:J19)</f>
        <v>-199.335</v>
      </c>
      <c r="L19" s="22">
        <f>-(I19-F19)+L18</f>
        <v>-2049.9</v>
      </c>
    </row>
    <row r="20" ht="20.05" customHeight="1">
      <c r="B20" s="36">
        <v>2019</v>
      </c>
      <c r="C20" s="21">
        <v>165.4</v>
      </c>
      <c r="D20" s="22">
        <v>60.47</v>
      </c>
      <c r="E20" s="22">
        <v>-105.39</v>
      </c>
      <c r="F20" s="22">
        <v>-44</v>
      </c>
      <c r="G20" s="22"/>
      <c r="H20" s="22"/>
      <c r="I20" s="22">
        <v>262.44</v>
      </c>
      <c r="J20" s="22">
        <f>F20+D20+E20</f>
        <v>-88.92</v>
      </c>
      <c r="K20" s="22">
        <f>AVERAGE(J17:J20)</f>
        <v>-157.3975</v>
      </c>
      <c r="L20" s="22">
        <f>-(I20-F20)+L19</f>
        <v>-2356.34</v>
      </c>
    </row>
    <row r="21" ht="20.05" customHeight="1">
      <c r="B21" s="35"/>
      <c r="C21" s="21">
        <v>296.7</v>
      </c>
      <c r="D21" s="22">
        <v>234.96</v>
      </c>
      <c r="E21" s="22">
        <v>-243.51</v>
      </c>
      <c r="F21" s="22">
        <v>-51</v>
      </c>
      <c r="G21" s="22"/>
      <c r="H21" s="22"/>
      <c r="I21" s="22">
        <v>-42.64</v>
      </c>
      <c r="J21" s="22">
        <f>F21+D21+E21</f>
        <v>-59.55</v>
      </c>
      <c r="K21" s="22">
        <f>AVERAGE(J18:J21)</f>
        <v>-116.3675</v>
      </c>
      <c r="L21" s="22">
        <f>-(I21-F21)+L20</f>
        <v>-2364.7</v>
      </c>
    </row>
    <row r="22" ht="20.05" customHeight="1">
      <c r="B22" s="35"/>
      <c r="C22" s="21">
        <v>144.2</v>
      </c>
      <c r="D22" s="22">
        <v>61.34</v>
      </c>
      <c r="E22" s="22">
        <v>-139.37</v>
      </c>
      <c r="F22" s="22">
        <v>-52</v>
      </c>
      <c r="G22" s="22"/>
      <c r="H22" s="22"/>
      <c r="I22" s="22">
        <v>-67.15000000000001</v>
      </c>
      <c r="J22" s="22">
        <f>F22+D22+E22</f>
        <v>-130.03</v>
      </c>
      <c r="K22" s="22">
        <f>AVERAGE(J19:J22)</f>
        <v>-106.9175</v>
      </c>
      <c r="L22" s="22">
        <f>-(I22-F22)+L21</f>
        <v>-2349.55</v>
      </c>
    </row>
    <row r="23" ht="20.05" customHeight="1">
      <c r="B23" s="35"/>
      <c r="C23" s="21">
        <v>178.9</v>
      </c>
      <c r="D23" s="22">
        <v>141.94</v>
      </c>
      <c r="E23" s="22">
        <v>-171.87</v>
      </c>
      <c r="F23" s="22">
        <v>-75</v>
      </c>
      <c r="G23" s="22"/>
      <c r="H23" s="22"/>
      <c r="I23" s="22">
        <v>128.78</v>
      </c>
      <c r="J23" s="22">
        <f>F23+D23+E23</f>
        <v>-104.93</v>
      </c>
      <c r="K23" s="22">
        <f>AVERAGE(J20:J23)</f>
        <v>-95.8575</v>
      </c>
      <c r="L23" s="22">
        <f>-(I23-F23)+L22</f>
        <v>-2553.33</v>
      </c>
    </row>
    <row r="24" ht="20.05" customHeight="1">
      <c r="B24" s="36">
        <v>2020</v>
      </c>
      <c r="C24" s="21">
        <v>149.3</v>
      </c>
      <c r="D24" s="22">
        <v>70.43000000000001</v>
      </c>
      <c r="E24" s="22">
        <v>-93.73999999999999</v>
      </c>
      <c r="F24" s="22">
        <v>-94</v>
      </c>
      <c r="G24" s="22"/>
      <c r="H24" s="22"/>
      <c r="I24" s="22">
        <v>12.64</v>
      </c>
      <c r="J24" s="22">
        <f>F24+D24+E24</f>
        <v>-117.31</v>
      </c>
      <c r="K24" s="22">
        <f>AVERAGE(J21:J24)</f>
        <v>-102.955</v>
      </c>
      <c r="L24" s="22">
        <f>-(I24-F24)+L23</f>
        <v>-2659.97</v>
      </c>
    </row>
    <row r="25" ht="20.05" customHeight="1">
      <c r="B25" s="35"/>
      <c r="C25" s="21">
        <v>417</v>
      </c>
      <c r="D25" s="22">
        <f>431-D24</f>
        <v>360.57</v>
      </c>
      <c r="E25" s="22">
        <f>-1909-E24</f>
        <v>-1815.26</v>
      </c>
      <c r="F25" s="22">
        <v>-123</v>
      </c>
      <c r="G25" s="22"/>
      <c r="H25" s="22"/>
      <c r="I25" s="22">
        <f>1701-I24</f>
        <v>1688.36</v>
      </c>
      <c r="J25" s="25"/>
      <c r="K25" s="22">
        <f>AVERAGE(J22:J25)</f>
        <v>-117.423333333333</v>
      </c>
      <c r="L25" s="22">
        <f>-(I25-F25)+L24</f>
        <v>-4471.33</v>
      </c>
    </row>
    <row r="26" ht="20.05" customHeight="1">
      <c r="B26" s="35"/>
      <c r="C26" s="21">
        <v>303.2</v>
      </c>
      <c r="D26" s="22">
        <f>672.874-SUM(D24:D25)</f>
        <v>241.874</v>
      </c>
      <c r="E26" s="22">
        <f>-2070.981-SUM(E24:E25)</f>
        <v>-161.981</v>
      </c>
      <c r="F26" s="22">
        <f>-359.914-SUM(F24:F25)</f>
        <v>-142.914</v>
      </c>
      <c r="G26" s="22"/>
      <c r="H26" s="22"/>
      <c r="I26" s="22">
        <f>1455.887-SUM(I24:I25)</f>
        <v>-245.113</v>
      </c>
      <c r="J26" s="22">
        <f>F26+D26+E26</f>
        <v>-63.021</v>
      </c>
      <c r="K26" s="22">
        <f>AVERAGE(J23:J26)</f>
        <v>-95.087</v>
      </c>
      <c r="L26" s="22">
        <f>-(I26-F26)+L25</f>
        <v>-4369.131</v>
      </c>
    </row>
    <row r="27" ht="20.05" customHeight="1">
      <c r="B27" s="35"/>
      <c r="C27" s="21">
        <v>160.5</v>
      </c>
      <c r="D27" s="22">
        <v>43.126</v>
      </c>
      <c r="E27" s="22">
        <v>17.981</v>
      </c>
      <c r="F27" s="22">
        <v>-135.086</v>
      </c>
      <c r="G27" s="22"/>
      <c r="H27" s="22"/>
      <c r="I27" s="22">
        <v>-135.887</v>
      </c>
      <c r="J27" s="22">
        <f>F27+D27+E27</f>
        <v>-73.979</v>
      </c>
      <c r="K27" s="22">
        <f>AVERAGE(J24:J27)</f>
        <v>-84.77</v>
      </c>
      <c r="L27" s="22">
        <f>-(I27-F27)+L26</f>
        <v>-4368.33</v>
      </c>
    </row>
    <row r="28" ht="20.05" customHeight="1">
      <c r="B28" s="36">
        <v>2021</v>
      </c>
      <c r="C28" s="21">
        <v>186.9</v>
      </c>
      <c r="D28" s="22">
        <v>62.8</v>
      </c>
      <c r="E28" s="22">
        <v>-117.7</v>
      </c>
      <c r="F28" s="22">
        <v>-159.6</v>
      </c>
      <c r="G28" s="22">
        <f>-75.48-F28</f>
        <v>84.12</v>
      </c>
      <c r="H28" s="22"/>
      <c r="I28" s="22">
        <f>SUM('Model'!C11:F11)</f>
        <v>268.123148019397</v>
      </c>
      <c r="J28" s="22">
        <f>F28+D28+E28</f>
        <v>-214.5</v>
      </c>
      <c r="K28" s="22">
        <f>AVERAGE(J25:J28)</f>
        <v>-117.166666666667</v>
      </c>
      <c r="L28" s="22">
        <f>-(I28-F28)+L27</f>
        <v>-4796.0531480194</v>
      </c>
    </row>
    <row r="29" ht="20.05" customHeight="1">
      <c r="B29" s="35"/>
      <c r="C29" s="21">
        <f>698-C28</f>
        <v>511.1</v>
      </c>
      <c r="D29" s="22">
        <f>542-D28</f>
        <v>479.2</v>
      </c>
      <c r="E29" s="22">
        <f>-333-E28</f>
        <v>-215.3</v>
      </c>
      <c r="F29" s="22">
        <f>-350-F28</f>
        <v>-190.4</v>
      </c>
      <c r="G29" s="43">
        <f>-90.133-F29-F28-G28</f>
        <v>175.747</v>
      </c>
      <c r="H29" s="43"/>
      <c r="I29" s="43">
        <f>-90-I28</f>
        <v>-358.123148019397</v>
      </c>
      <c r="J29" s="22">
        <f>F29+D29+E29</f>
        <v>73.5</v>
      </c>
      <c r="K29" s="22">
        <f>AVERAGE(J26:J29)</f>
        <v>-69.5</v>
      </c>
      <c r="L29" s="22">
        <f>-(I29-F29)+L28</f>
        <v>-4628.33</v>
      </c>
    </row>
    <row r="30" ht="20.05" customHeight="1">
      <c r="B30" s="35"/>
      <c r="C30" s="21">
        <f>964-SUM(C28:C29)</f>
        <v>266</v>
      </c>
      <c r="D30" s="22">
        <f>699.2-SUM(D28:D29)</f>
        <v>157.2</v>
      </c>
      <c r="E30" s="22">
        <f>-562.8-SUM(E28:E29)</f>
        <v>-229.8</v>
      </c>
      <c r="F30" s="22">
        <f>-463.9-SUM(F28:F29)</f>
        <v>-113.9</v>
      </c>
      <c r="G30" s="22">
        <f>-159.12-F30-F29-F28-G29-G28</f>
        <v>44.913</v>
      </c>
      <c r="H30" s="22"/>
      <c r="I30" s="22">
        <f>-159.1-SUM(I28:I29)</f>
        <v>-69.09999999999999</v>
      </c>
      <c r="J30" s="22">
        <f>F30+D30+E30</f>
        <v>-186.5</v>
      </c>
      <c r="K30" s="22">
        <f>AVERAGE(J27:J30)</f>
        <v>-100.36975</v>
      </c>
      <c r="L30" s="22">
        <f>-(I30-F30)+L29</f>
        <v>-4673.13</v>
      </c>
    </row>
    <row r="31" ht="20.05" customHeight="1">
      <c r="B31" s="35"/>
      <c r="C31" s="21"/>
      <c r="D31" s="22"/>
      <c r="E31" s="22"/>
      <c r="F31" s="22"/>
      <c r="G31" s="22"/>
      <c r="H31" s="22"/>
      <c r="I31" s="22"/>
      <c r="J31" s="25"/>
      <c r="K31" s="22">
        <f>SUM('Model'!F9:F10)</f>
        <v>-61.982384941739</v>
      </c>
      <c r="L31" s="22">
        <f>'Model'!F32</f>
        <v>-4941.2531480194</v>
      </c>
    </row>
  </sheetData>
  <mergeCells count="1">
    <mergeCell ref="B2:L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2.3516" style="44" customWidth="1"/>
    <col min="2" max="11" width="10.8828" style="44" customWidth="1"/>
    <col min="12" max="16384" width="16.3516" style="44" customWidth="1"/>
  </cols>
  <sheetData>
    <row r="1" ht="46.3" customHeight="1"/>
    <row r="2" ht="27.65" customHeight="1">
      <c r="B2" t="s" s="2">
        <v>57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4">
        <v>1</v>
      </c>
      <c r="C3" t="s" s="4">
        <v>58</v>
      </c>
      <c r="D3" t="s" s="4">
        <v>59</v>
      </c>
      <c r="E3" t="s" s="4">
        <v>60</v>
      </c>
      <c r="F3" t="s" s="4">
        <v>23</v>
      </c>
      <c r="G3" t="s" s="4">
        <v>11</v>
      </c>
      <c r="H3" t="s" s="4">
        <v>61</v>
      </c>
      <c r="I3" t="s" s="4">
        <v>62</v>
      </c>
      <c r="J3" t="s" s="4">
        <v>63</v>
      </c>
      <c r="K3" t="s" s="4">
        <v>32</v>
      </c>
    </row>
    <row r="4" ht="21.1" customHeight="1">
      <c r="B4" s="29">
        <v>2015</v>
      </c>
      <c r="C4" s="30">
        <v>80</v>
      </c>
      <c r="D4" s="32">
        <v>1009</v>
      </c>
      <c r="E4" s="32">
        <f>D4-C4</f>
        <v>929</v>
      </c>
      <c r="F4" s="32">
        <f>89+2</f>
        <v>91</v>
      </c>
      <c r="G4" s="32">
        <v>331</v>
      </c>
      <c r="H4" s="32">
        <v>678</v>
      </c>
      <c r="I4" s="32">
        <f>G4+H4-C4-E4</f>
        <v>0</v>
      </c>
      <c r="J4" s="32">
        <f>C4-G4</f>
        <v>-251</v>
      </c>
      <c r="K4" s="32"/>
    </row>
    <row r="5" ht="21.1" customHeight="1">
      <c r="B5" s="35"/>
      <c r="C5" s="21">
        <v>91</v>
      </c>
      <c r="D5" s="22">
        <v>1037</v>
      </c>
      <c r="E5" s="22">
        <f>D5-C5</f>
        <v>946</v>
      </c>
      <c r="F5" s="22">
        <f>102+2</f>
        <v>104</v>
      </c>
      <c r="G5" s="22">
        <v>372</v>
      </c>
      <c r="H5" s="22">
        <v>665</v>
      </c>
      <c r="I5" s="22">
        <f>G5+H5-C5-E5</f>
        <v>0</v>
      </c>
      <c r="J5" s="22">
        <f>C5-G5</f>
        <v>-281</v>
      </c>
      <c r="K5" s="22"/>
    </row>
    <row r="6" ht="21.1" customHeight="1">
      <c r="B6" s="35"/>
      <c r="C6" s="21">
        <v>374</v>
      </c>
      <c r="D6" s="22">
        <v>1324</v>
      </c>
      <c r="E6" s="22">
        <f>D6-C6</f>
        <v>950</v>
      </c>
      <c r="F6" s="22">
        <f>116+2</f>
        <v>118</v>
      </c>
      <c r="G6" s="22">
        <v>226</v>
      </c>
      <c r="H6" s="22">
        <v>1098</v>
      </c>
      <c r="I6" s="22">
        <f>G6+H6-C6-E6</f>
        <v>0</v>
      </c>
      <c r="J6" s="22">
        <f>C6-G6</f>
        <v>148</v>
      </c>
      <c r="K6" s="22"/>
    </row>
    <row r="7" ht="21.1" customHeight="1">
      <c r="B7" s="35"/>
      <c r="C7" s="21">
        <v>347</v>
      </c>
      <c r="D7" s="22">
        <v>1293</v>
      </c>
      <c r="E7" s="22">
        <f>D7-C7</f>
        <v>946</v>
      </c>
      <c r="F7" s="22">
        <f>2+130</f>
        <v>132</v>
      </c>
      <c r="G7" s="22">
        <v>215</v>
      </c>
      <c r="H7" s="22">
        <v>1078</v>
      </c>
      <c r="I7" s="22">
        <f>G7+H7-C7-E7</f>
        <v>0</v>
      </c>
      <c r="J7" s="22">
        <f>C7-G7</f>
        <v>132</v>
      </c>
      <c r="K7" s="22"/>
    </row>
    <row r="8" ht="21.1" customHeight="1">
      <c r="B8" s="36">
        <v>2016</v>
      </c>
      <c r="C8" s="21">
        <v>321</v>
      </c>
      <c r="D8" s="22">
        <v>1287</v>
      </c>
      <c r="E8" s="22">
        <f>D8-C8</f>
        <v>966</v>
      </c>
      <c r="F8" s="22">
        <f>11+3</f>
        <v>14</v>
      </c>
      <c r="G8" s="22">
        <v>219</v>
      </c>
      <c r="H8" s="22">
        <v>1068</v>
      </c>
      <c r="I8" s="22">
        <f>G8+H8-C8-E8</f>
        <v>0</v>
      </c>
      <c r="J8" s="22">
        <f>C8-G8</f>
        <v>102</v>
      </c>
      <c r="K8" s="22"/>
    </row>
    <row r="9" ht="20.9" customHeight="1">
      <c r="B9" s="35"/>
      <c r="C9" s="21">
        <v>319</v>
      </c>
      <c r="D9" s="22">
        <v>1332</v>
      </c>
      <c r="E9" s="22">
        <f>D9-C9</f>
        <v>1013</v>
      </c>
      <c r="F9" s="22">
        <f>8+3</f>
        <v>11</v>
      </c>
      <c r="G9" s="22">
        <v>270</v>
      </c>
      <c r="H9" s="22">
        <v>1062</v>
      </c>
      <c r="I9" s="22">
        <f>G9+H9-C9-E9</f>
        <v>0</v>
      </c>
      <c r="J9" s="22">
        <f>C9-G9</f>
        <v>49</v>
      </c>
      <c r="K9" s="22"/>
    </row>
    <row r="10" ht="20.9" customHeight="1">
      <c r="B10" s="35"/>
      <c r="C10" s="21">
        <v>210</v>
      </c>
      <c r="D10" s="22">
        <v>1369</v>
      </c>
      <c r="E10" s="22">
        <f>D10-C10</f>
        <v>1159</v>
      </c>
      <c r="F10" s="22">
        <f>9+3</f>
        <v>12</v>
      </c>
      <c r="G10" s="22">
        <v>312</v>
      </c>
      <c r="H10" s="22">
        <v>1057</v>
      </c>
      <c r="I10" s="22">
        <f>G10+H10-C10-E10</f>
        <v>0</v>
      </c>
      <c r="J10" s="22">
        <f>C10-G10</f>
        <v>-102</v>
      </c>
      <c r="K10" s="22"/>
    </row>
    <row r="11" ht="20.9" customHeight="1">
      <c r="B11" s="35"/>
      <c r="C11" s="21">
        <v>151</v>
      </c>
      <c r="D11" s="22">
        <v>1315</v>
      </c>
      <c r="E11" s="22">
        <f>D11-C11</f>
        <v>1164</v>
      </c>
      <c r="F11" s="22">
        <f>203+3</f>
        <v>206</v>
      </c>
      <c r="G11" s="22">
        <v>278</v>
      </c>
      <c r="H11" s="22">
        <v>1037</v>
      </c>
      <c r="I11" s="22">
        <f>G11+H11-C11-E11</f>
        <v>0</v>
      </c>
      <c r="J11" s="22">
        <f>C11-G11</f>
        <v>-127</v>
      </c>
      <c r="K11" s="22"/>
    </row>
    <row r="12" ht="20.9" customHeight="1">
      <c r="B12" s="36">
        <v>2017</v>
      </c>
      <c r="C12" s="21">
        <v>296</v>
      </c>
      <c r="D12" s="22">
        <v>4178</v>
      </c>
      <c r="E12" s="22">
        <f>D12-C12</f>
        <v>3882</v>
      </c>
      <c r="F12" s="22">
        <f>4+203</f>
        <v>207</v>
      </c>
      <c r="G12" s="22">
        <v>1111</v>
      </c>
      <c r="H12" s="22">
        <v>3067</v>
      </c>
      <c r="I12" s="22">
        <f>G12+H12-C12-E12</f>
        <v>0</v>
      </c>
      <c r="J12" s="22">
        <f>C12-G12</f>
        <v>-815</v>
      </c>
      <c r="K12" s="22"/>
    </row>
    <row r="13" ht="20.9" customHeight="1">
      <c r="B13" s="35"/>
      <c r="C13" s="21">
        <v>344</v>
      </c>
      <c r="D13" s="22">
        <v>4107</v>
      </c>
      <c r="E13" s="22">
        <f>D13-C13</f>
        <v>3763</v>
      </c>
      <c r="F13" s="22">
        <f>1521+4</f>
        <v>1525</v>
      </c>
      <c r="G13" s="22">
        <v>1031</v>
      </c>
      <c r="H13" s="22">
        <v>3076</v>
      </c>
      <c r="I13" s="22">
        <f>G13+H13-C13-E13</f>
        <v>0</v>
      </c>
      <c r="J13" s="22">
        <f>C13-G13</f>
        <v>-687</v>
      </c>
      <c r="K13" s="22"/>
    </row>
    <row r="14" ht="20.9" customHeight="1">
      <c r="B14" s="35"/>
      <c r="C14" s="21">
        <v>285</v>
      </c>
      <c r="D14" s="22">
        <v>4112</v>
      </c>
      <c r="E14" s="22">
        <f>D14-C14</f>
        <v>3827</v>
      </c>
      <c r="F14" s="22">
        <f>1615+4</f>
        <v>1619</v>
      </c>
      <c r="G14" s="22">
        <v>1074</v>
      </c>
      <c r="H14" s="22">
        <v>3038</v>
      </c>
      <c r="I14" s="22">
        <f>G14+H14-C14-E14</f>
        <v>0</v>
      </c>
      <c r="J14" s="22">
        <f>C14-G14</f>
        <v>-789</v>
      </c>
      <c r="K14" s="22"/>
    </row>
    <row r="15" ht="20.9" customHeight="1">
      <c r="B15" s="35"/>
      <c r="C15" s="21">
        <v>368</v>
      </c>
      <c r="D15" s="22">
        <v>4494</v>
      </c>
      <c r="E15" s="22">
        <f>D15-C15</f>
        <v>4126</v>
      </c>
      <c r="F15" s="22">
        <f>1702+5</f>
        <v>1707</v>
      </c>
      <c r="G15" s="22">
        <v>1526</v>
      </c>
      <c r="H15" s="22">
        <v>2968</v>
      </c>
      <c r="I15" s="22">
        <f>G15+H15-C15-E15</f>
        <v>0</v>
      </c>
      <c r="J15" s="22">
        <f>C15-G15</f>
        <v>-1158</v>
      </c>
      <c r="K15" s="22"/>
    </row>
    <row r="16" ht="20.9" customHeight="1">
      <c r="B16" s="36">
        <v>2018</v>
      </c>
      <c r="C16" s="21">
        <v>374</v>
      </c>
      <c r="D16" s="22">
        <v>4686</v>
      </c>
      <c r="E16" s="22">
        <f>D16-C16</f>
        <v>4312</v>
      </c>
      <c r="F16" s="22">
        <f>5+1801</f>
        <v>1806</v>
      </c>
      <c r="G16" s="22">
        <v>1741</v>
      </c>
      <c r="H16" s="22">
        <v>2945</v>
      </c>
      <c r="I16" s="22">
        <f>G16+H16-C16-E16</f>
        <v>0</v>
      </c>
      <c r="J16" s="22">
        <f>C16-G16</f>
        <v>-1367</v>
      </c>
      <c r="K16" s="22"/>
    </row>
    <row r="17" ht="20.9" customHeight="1">
      <c r="B17" s="35"/>
      <c r="C17" s="21">
        <v>499</v>
      </c>
      <c r="D17" s="22">
        <v>5082</v>
      </c>
      <c r="E17" s="22">
        <f>D17-C17</f>
        <v>4583</v>
      </c>
      <c r="F17" s="22">
        <f>1787+5</f>
        <v>1792</v>
      </c>
      <c r="G17" s="22">
        <v>2036</v>
      </c>
      <c r="H17" s="22">
        <v>3046</v>
      </c>
      <c r="I17" s="22">
        <f>G17+H17-C17-E17</f>
        <v>0</v>
      </c>
      <c r="J17" s="22">
        <f>C17-G17</f>
        <v>-1537</v>
      </c>
      <c r="K17" s="22"/>
    </row>
    <row r="18" ht="20.9" customHeight="1">
      <c r="B18" s="35"/>
      <c r="C18" s="21">
        <v>631</v>
      </c>
      <c r="D18" s="22">
        <v>5328</v>
      </c>
      <c r="E18" s="22">
        <f>D18-C18</f>
        <v>4697</v>
      </c>
      <c r="F18" s="22">
        <f>5+1770</f>
        <v>1775</v>
      </c>
      <c r="G18" s="22">
        <v>2312</v>
      </c>
      <c r="H18" s="22">
        <v>3016</v>
      </c>
      <c r="I18" s="22">
        <f>G18+H18-C18-E18</f>
        <v>0</v>
      </c>
      <c r="J18" s="22">
        <f>C18-G18</f>
        <v>-1681</v>
      </c>
      <c r="K18" s="22"/>
    </row>
    <row r="19" ht="20.9" customHeight="1">
      <c r="B19" s="35"/>
      <c r="C19" s="21">
        <v>456</v>
      </c>
      <c r="D19" s="22">
        <v>5207</v>
      </c>
      <c r="E19" s="22">
        <f>D19-C19</f>
        <v>4751</v>
      </c>
      <c r="F19" s="22">
        <f>6+1870</f>
        <v>1876</v>
      </c>
      <c r="G19" s="22">
        <v>2169</v>
      </c>
      <c r="H19" s="22">
        <v>3038</v>
      </c>
      <c r="I19" s="22">
        <f>G19+H19-C19-E19</f>
        <v>0</v>
      </c>
      <c r="J19" s="22">
        <f>C19-G19</f>
        <v>-1713</v>
      </c>
      <c r="K19" s="22"/>
    </row>
    <row r="20" ht="20.9" customHeight="1">
      <c r="B20" s="36">
        <v>2019</v>
      </c>
      <c r="C20" s="21">
        <v>672</v>
      </c>
      <c r="D20" s="22">
        <v>5468</v>
      </c>
      <c r="E20" s="22">
        <f>D20-C20</f>
        <v>4796</v>
      </c>
      <c r="F20" s="22">
        <f>1912+6</f>
        <v>1918</v>
      </c>
      <c r="G20" s="22">
        <v>2430</v>
      </c>
      <c r="H20" s="22">
        <v>3038</v>
      </c>
      <c r="I20" s="22">
        <f>G20+H20-C20-E20</f>
        <v>0</v>
      </c>
      <c r="J20" s="22">
        <f>C20-G20</f>
        <v>-1758</v>
      </c>
      <c r="K20" s="22"/>
    </row>
    <row r="21" ht="20.9" customHeight="1">
      <c r="B21" s="35"/>
      <c r="C21" s="21">
        <v>619</v>
      </c>
      <c r="D21" s="22">
        <v>5511</v>
      </c>
      <c r="E21" s="22">
        <f>D21-C21</f>
        <v>4892</v>
      </c>
      <c r="F21" s="22">
        <f>6+1953</f>
        <v>1959</v>
      </c>
      <c r="G21" s="22">
        <v>2494</v>
      </c>
      <c r="H21" s="22">
        <v>3017</v>
      </c>
      <c r="I21" s="22">
        <f>G21+H21-C21-E21</f>
        <v>0</v>
      </c>
      <c r="J21" s="22">
        <f>C21-G21</f>
        <v>-1875</v>
      </c>
      <c r="K21" s="22"/>
    </row>
    <row r="22" ht="20.9" customHeight="1">
      <c r="B22" s="35"/>
      <c r="C22" s="21">
        <v>474</v>
      </c>
      <c r="D22" s="22">
        <v>5644</v>
      </c>
      <c r="E22" s="22">
        <f>D22-C22</f>
        <v>5170</v>
      </c>
      <c r="F22" s="22">
        <f>1995+6</f>
        <v>2001</v>
      </c>
      <c r="G22" s="22">
        <v>2622</v>
      </c>
      <c r="H22" s="22">
        <v>3022</v>
      </c>
      <c r="I22" s="22">
        <f>G22+H22-C22-E22</f>
        <v>0</v>
      </c>
      <c r="J22" s="22">
        <f>C22-G22</f>
        <v>-2148</v>
      </c>
      <c r="K22" s="22"/>
    </row>
    <row r="23" ht="20.9" customHeight="1">
      <c r="B23" s="35"/>
      <c r="C23" s="21">
        <v>563</v>
      </c>
      <c r="D23" s="22">
        <v>5729</v>
      </c>
      <c r="E23" s="22">
        <f>D23-C23</f>
        <v>5166</v>
      </c>
      <c r="F23" s="22">
        <f>2036+7</f>
        <v>2043</v>
      </c>
      <c r="G23" s="22">
        <v>2714</v>
      </c>
      <c r="H23" s="22">
        <v>3015</v>
      </c>
      <c r="I23" s="22">
        <f>G23+H23-C23-E23</f>
        <v>0</v>
      </c>
      <c r="J23" s="22">
        <f>C23-G23</f>
        <v>-2151</v>
      </c>
      <c r="K23" s="22"/>
    </row>
    <row r="24" ht="20.9" customHeight="1">
      <c r="B24" s="36">
        <v>2020</v>
      </c>
      <c r="C24" s="21">
        <v>588</v>
      </c>
      <c r="D24" s="22">
        <v>6232</v>
      </c>
      <c r="E24" s="22">
        <f>D24-C24</f>
        <v>5644</v>
      </c>
      <c r="F24" s="22">
        <f>2111+7</f>
        <v>2118</v>
      </c>
      <c r="G24" s="22">
        <v>3389</v>
      </c>
      <c r="H24" s="22">
        <v>2843</v>
      </c>
      <c r="I24" s="22">
        <f>G24+H24-C24-E24</f>
        <v>0</v>
      </c>
      <c r="J24" s="22">
        <f>C24-G24</f>
        <v>-2801</v>
      </c>
      <c r="K24" s="22"/>
    </row>
    <row r="25" ht="20.9" customHeight="1">
      <c r="B25" s="35"/>
      <c r="C25" s="21">
        <v>792</v>
      </c>
      <c r="D25" s="22">
        <v>8029</v>
      </c>
      <c r="E25" s="22">
        <f>D25-C25</f>
        <v>7237</v>
      </c>
      <c r="F25" s="22">
        <v>2211</v>
      </c>
      <c r="G25" s="22">
        <v>5465</v>
      </c>
      <c r="H25" s="22">
        <v>2564</v>
      </c>
      <c r="I25" s="22">
        <f>G25+H25-C25-E25</f>
        <v>0</v>
      </c>
      <c r="J25" s="22">
        <f>C25-G25</f>
        <v>-4673</v>
      </c>
      <c r="K25" s="22"/>
    </row>
    <row r="26" ht="20.9" customHeight="1">
      <c r="B26" s="35"/>
      <c r="C26" s="21">
        <v>635</v>
      </c>
      <c r="D26" s="22">
        <v>8092</v>
      </c>
      <c r="E26" s="22">
        <f>D26-C26</f>
        <v>7457</v>
      </c>
      <c r="F26" s="22">
        <f>2352+8</f>
        <v>2360</v>
      </c>
      <c r="G26" s="22">
        <v>5582</v>
      </c>
      <c r="H26" s="22">
        <v>2510</v>
      </c>
      <c r="I26" s="22">
        <f>G26+H26-C26-E26</f>
        <v>0</v>
      </c>
      <c r="J26" s="22">
        <f>C26-G26</f>
        <v>-4947</v>
      </c>
      <c r="K26" s="22"/>
    </row>
    <row r="27" ht="20.9" customHeight="1">
      <c r="B27" s="35"/>
      <c r="C27" s="21">
        <v>552</v>
      </c>
      <c r="D27" s="22">
        <v>7629</v>
      </c>
      <c r="E27" s="22">
        <f>D27-C27</f>
        <v>7077</v>
      </c>
      <c r="F27" s="22">
        <f>193+2215</f>
        <v>2408</v>
      </c>
      <c r="G27" s="22">
        <v>5157</v>
      </c>
      <c r="H27" s="22">
        <v>2472</v>
      </c>
      <c r="I27" s="22">
        <f>G27+H27-C27-E27</f>
        <v>0</v>
      </c>
      <c r="J27" s="22">
        <f>C27-G27</f>
        <v>-4605</v>
      </c>
      <c r="K27" s="22"/>
    </row>
    <row r="28" ht="20.9" customHeight="1">
      <c r="B28" s="36">
        <v>2021</v>
      </c>
      <c r="C28" s="21">
        <v>417</v>
      </c>
      <c r="D28" s="22">
        <v>7850</v>
      </c>
      <c r="E28" s="22">
        <f>D28-C28</f>
        <v>7433</v>
      </c>
      <c r="F28" s="22">
        <f>2281+240+9</f>
        <v>2530</v>
      </c>
      <c r="G28" s="22">
        <v>5483</v>
      </c>
      <c r="H28" s="22">
        <v>2367</v>
      </c>
      <c r="I28" s="22">
        <f>G28+H28-C28-E28</f>
        <v>0</v>
      </c>
      <c r="J28" s="22">
        <f>C28-G28</f>
        <v>-5066</v>
      </c>
      <c r="K28" s="22"/>
    </row>
    <row r="29" ht="20.9" customHeight="1">
      <c r="B29" s="35"/>
      <c r="C29" s="21">
        <v>670</v>
      </c>
      <c r="D29" s="22">
        <v>7946</v>
      </c>
      <c r="E29" s="22">
        <f>D29-C29</f>
        <v>7276</v>
      </c>
      <c r="F29" s="22">
        <f>F28+'Sales'!E29</f>
        <v>2650.1</v>
      </c>
      <c r="G29" s="22">
        <v>5653</v>
      </c>
      <c r="H29" s="22">
        <v>2294</v>
      </c>
      <c r="I29" s="22">
        <f>G29+H29-C29-E29</f>
        <v>1</v>
      </c>
      <c r="J29" s="22">
        <f>C29-G29</f>
        <v>-4983</v>
      </c>
      <c r="K29" s="22"/>
    </row>
    <row r="30" ht="20.9" customHeight="1">
      <c r="B30" s="35"/>
      <c r="C30" s="21">
        <v>530</v>
      </c>
      <c r="D30" s="22">
        <v>7876</v>
      </c>
      <c r="E30" s="22">
        <f>D30-C30</f>
        <v>7346</v>
      </c>
      <c r="F30" s="22">
        <f>2412+344</f>
        <v>2756</v>
      </c>
      <c r="G30" s="22">
        <v>5636</v>
      </c>
      <c r="H30" s="22">
        <v>2240</v>
      </c>
      <c r="I30" s="22">
        <f>G30+H30-C30-E30</f>
        <v>0</v>
      </c>
      <c r="J30" s="22">
        <f>C30-G30</f>
        <v>-5106</v>
      </c>
      <c r="K30" s="22">
        <f>J30</f>
        <v>-5106</v>
      </c>
    </row>
    <row r="31" ht="20.9" customHeight="1">
      <c r="B31" s="35"/>
      <c r="C31" s="21"/>
      <c r="D31" s="22"/>
      <c r="E31" s="22"/>
      <c r="F31" s="22"/>
      <c r="G31" s="22"/>
      <c r="H31" s="22"/>
      <c r="I31" s="22"/>
      <c r="J31" s="22"/>
      <c r="K31" s="22">
        <f>'Model'!F30</f>
        <v>-5374.1231480194</v>
      </c>
    </row>
  </sheetData>
  <mergeCells count="1">
    <mergeCell ref="B2:K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D20"/>
  <sheetViews>
    <sheetView workbookViewId="0" showGridLines="0" defaultGridColor="1"/>
  </sheetViews>
  <sheetFormatPr defaultColWidth="8.33333" defaultRowHeight="19.9" customHeight="1" outlineLevelRow="0" outlineLevelCol="0"/>
  <cols>
    <col min="1" max="1" width="9.72656" style="45" customWidth="1"/>
    <col min="2" max="2" width="9.35156" style="45" customWidth="1"/>
    <col min="3" max="4" width="9.60156" style="45" customWidth="1"/>
    <col min="5" max="16384" width="8.35156" style="45" customWidth="1"/>
  </cols>
  <sheetData>
    <row r="1" ht="20.5" customHeight="1"/>
    <row r="2" ht="27.65" customHeight="1">
      <c r="B2" t="s" s="2">
        <v>64</v>
      </c>
      <c r="C2" s="2"/>
      <c r="D2" s="2"/>
    </row>
    <row r="3" ht="20.25" customHeight="1">
      <c r="B3" t="s" s="46">
        <v>65</v>
      </c>
      <c r="C3" t="s" s="46">
        <v>66</v>
      </c>
      <c r="D3" t="s" s="46">
        <v>35</v>
      </c>
    </row>
    <row r="4" ht="20.25" customHeight="1">
      <c r="B4" s="47">
        <v>2018</v>
      </c>
      <c r="C4" s="48">
        <v>101</v>
      </c>
      <c r="D4" s="49"/>
    </row>
    <row r="5" ht="20.05" customHeight="1">
      <c r="B5" s="50"/>
      <c r="C5" s="51">
        <v>79</v>
      </c>
      <c r="D5" s="52"/>
    </row>
    <row r="6" ht="20.05" customHeight="1">
      <c r="B6" s="50"/>
      <c r="C6" s="51">
        <v>101</v>
      </c>
      <c r="D6" s="52"/>
    </row>
    <row r="7" ht="20.05" customHeight="1">
      <c r="B7" s="50"/>
      <c r="C7" s="51">
        <v>86</v>
      </c>
      <c r="D7" s="52"/>
    </row>
    <row r="8" ht="20.05" customHeight="1">
      <c r="B8" s="53">
        <v>2019</v>
      </c>
      <c r="C8" s="51">
        <v>92</v>
      </c>
      <c r="D8" s="52"/>
    </row>
    <row r="9" ht="20.05" customHeight="1">
      <c r="B9" s="50"/>
      <c r="C9" s="51">
        <v>90</v>
      </c>
      <c r="D9" s="52"/>
    </row>
    <row r="10" ht="20.05" customHeight="1">
      <c r="B10" s="50"/>
      <c r="C10" s="51">
        <v>80</v>
      </c>
      <c r="D10" s="52"/>
    </row>
    <row r="11" ht="20.05" customHeight="1">
      <c r="B11" s="50"/>
      <c r="C11" s="51">
        <v>73</v>
      </c>
      <c r="D11" s="52"/>
    </row>
    <row r="12" ht="20.05" customHeight="1">
      <c r="B12" s="53">
        <v>2020</v>
      </c>
      <c r="C12" s="51">
        <v>51</v>
      </c>
      <c r="D12" s="52"/>
    </row>
    <row r="13" ht="20.05" customHeight="1">
      <c r="B13" s="50"/>
      <c r="C13" s="51">
        <v>81</v>
      </c>
      <c r="D13" s="54"/>
    </row>
    <row r="14" ht="20.05" customHeight="1">
      <c r="B14" s="50"/>
      <c r="C14" s="55">
        <v>133</v>
      </c>
      <c r="D14" s="54"/>
    </row>
    <row r="15" ht="20.05" customHeight="1">
      <c r="B15" s="50"/>
      <c r="C15" s="55">
        <v>142</v>
      </c>
      <c r="D15" s="54"/>
    </row>
    <row r="16" ht="20.05" customHeight="1">
      <c r="B16" s="53">
        <v>2021</v>
      </c>
      <c r="C16" s="55">
        <v>284</v>
      </c>
      <c r="D16" s="54"/>
    </row>
    <row r="17" ht="20.05" customHeight="1">
      <c r="B17" s="50"/>
      <c r="C17" s="55">
        <v>238</v>
      </c>
      <c r="D17" s="54"/>
    </row>
    <row r="18" ht="20.05" customHeight="1">
      <c r="B18" s="50"/>
      <c r="C18" s="55">
        <v>280</v>
      </c>
      <c r="D18" s="54"/>
    </row>
    <row r="19" ht="20.05" customHeight="1">
      <c r="B19" s="50"/>
      <c r="C19" s="55">
        <v>278</v>
      </c>
      <c r="D19" s="56">
        <f>C19</f>
        <v>278</v>
      </c>
    </row>
    <row r="20" ht="20.05" customHeight="1">
      <c r="B20" s="50"/>
      <c r="C20" s="55"/>
      <c r="D20" s="56">
        <f>'Model'!F41</f>
        <v>186.926406205099</v>
      </c>
    </row>
  </sheetData>
  <mergeCells count="1">
    <mergeCell ref="B2:D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B3:J14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3.15625" style="57" customWidth="1"/>
    <col min="2" max="2" width="9.59375" style="57" customWidth="1"/>
    <col min="3" max="10" width="9.625" style="57" customWidth="1"/>
    <col min="11" max="16384" width="16.3516" style="57" customWidth="1"/>
  </cols>
  <sheetData>
    <row r="1" ht="18.8" customHeight="1"/>
    <row r="2" ht="27.65" customHeight="1">
      <c r="B2" t="s" s="2">
        <v>56</v>
      </c>
      <c r="C2" s="2"/>
      <c r="D2" s="2"/>
      <c r="E2" s="2"/>
      <c r="F2" s="2"/>
      <c r="G2" s="2"/>
      <c r="H2" s="2"/>
      <c r="I2" s="2"/>
      <c r="J2" s="2"/>
    </row>
    <row r="3" ht="20.25" customHeight="1">
      <c r="B3" s="58"/>
      <c r="C3" t="s" s="4">
        <v>54</v>
      </c>
      <c r="D3" t="s" s="4">
        <v>67</v>
      </c>
      <c r="E3" t="s" s="4">
        <v>11</v>
      </c>
      <c r="F3" t="s" s="4">
        <v>12</v>
      </c>
      <c r="G3" s="58"/>
      <c r="H3" s="58"/>
      <c r="I3" s="5"/>
      <c r="J3" s="5"/>
    </row>
    <row r="4" ht="20.25" customHeight="1">
      <c r="B4" s="29">
        <v>2011</v>
      </c>
      <c r="C4" s="30"/>
      <c r="D4" s="32">
        <v>-0.076</v>
      </c>
      <c r="E4" s="32">
        <v>0</v>
      </c>
      <c r="F4" s="32">
        <v>-0.571</v>
      </c>
      <c r="G4" s="32">
        <f>E4</f>
        <v>0</v>
      </c>
      <c r="H4" s="32">
        <f>F4</f>
        <v>-0.571</v>
      </c>
      <c r="I4" s="32">
        <f>E4+F4</f>
        <v>-0.571</v>
      </c>
      <c r="J4" s="31">
        <f>I4</f>
        <v>-0.571</v>
      </c>
    </row>
    <row r="5" ht="20.05" customHeight="1">
      <c r="B5" s="36">
        <v>2012</v>
      </c>
      <c r="C5" s="21">
        <v>0</v>
      </c>
      <c r="D5" s="22">
        <v>0</v>
      </c>
      <c r="E5" s="22">
        <v>0</v>
      </c>
      <c r="F5" s="22">
        <v>0</v>
      </c>
      <c r="G5" s="22">
        <f>E5+G4</f>
        <v>0</v>
      </c>
      <c r="H5" s="22">
        <f>F5+H4</f>
        <v>-0.571</v>
      </c>
      <c r="I5" s="22">
        <f>E5+F5</f>
        <v>0</v>
      </c>
      <c r="J5" s="25">
        <f>I5+J4</f>
        <v>-0.571</v>
      </c>
    </row>
    <row r="6" ht="20.05" customHeight="1">
      <c r="B6" s="36">
        <v>2013</v>
      </c>
      <c r="C6" s="21"/>
      <c r="D6" s="22">
        <v>-0.9370000000000001</v>
      </c>
      <c r="E6" s="22">
        <v>0</v>
      </c>
      <c r="F6" s="22">
        <f>684.952-6.451+1.032</f>
        <v>679.533</v>
      </c>
      <c r="G6" s="22">
        <f>E6+G5</f>
        <v>0</v>
      </c>
      <c r="H6" s="22">
        <f>F6+H5</f>
        <v>678.962</v>
      </c>
      <c r="I6" s="22">
        <f>E6+F6</f>
        <v>679.533</v>
      </c>
      <c r="J6" s="25">
        <f>I6+J5</f>
        <v>678.962</v>
      </c>
    </row>
    <row r="7" ht="20.05" customHeight="1">
      <c r="B7" s="36">
        <v>2014</v>
      </c>
      <c r="C7" s="21"/>
      <c r="D7" s="22">
        <v>-0.784</v>
      </c>
      <c r="E7" s="22">
        <f>156.49-D7</f>
        <v>157.274</v>
      </c>
      <c r="F7" s="22">
        <v>0</v>
      </c>
      <c r="G7" s="22">
        <f>E7+G6</f>
        <v>157.274</v>
      </c>
      <c r="H7" s="22">
        <f>F7+H6</f>
        <v>678.962</v>
      </c>
      <c r="I7" s="22">
        <f>E7+F7</f>
        <v>157.274</v>
      </c>
      <c r="J7" s="25">
        <f>I7+J6</f>
        <v>836.236</v>
      </c>
    </row>
    <row r="8" ht="20.05" customHeight="1">
      <c r="B8" s="36">
        <v>2015</v>
      </c>
      <c r="C8" s="21"/>
      <c r="D8" s="22">
        <v>-0.761</v>
      </c>
      <c r="E8" s="22">
        <f>422.627-C8-D8-F8</f>
        <v>-22.09</v>
      </c>
      <c r="F8" s="22">
        <v>445.478</v>
      </c>
      <c r="G8" s="22">
        <f>E8+G7</f>
        <v>135.184</v>
      </c>
      <c r="H8" s="22">
        <f>F8+H7</f>
        <v>1124.44</v>
      </c>
      <c r="I8" s="22">
        <f>E8+F8</f>
        <v>423.388</v>
      </c>
      <c r="J8" s="25">
        <f>I8+J7</f>
        <v>1259.624</v>
      </c>
    </row>
    <row r="9" ht="20.05" customHeight="1">
      <c r="B9" s="36">
        <v>2016</v>
      </c>
      <c r="C9" s="21">
        <v>-15.615</v>
      </c>
      <c r="D9" s="22">
        <v>-0.121</v>
      </c>
      <c r="E9" s="22">
        <f>-20.961+C9-D9-F9</f>
        <v>-33.464</v>
      </c>
      <c r="F9" s="22">
        <v>-2.991</v>
      </c>
      <c r="G9" s="22">
        <f>E9+G8</f>
        <v>101.72</v>
      </c>
      <c r="H9" s="22">
        <f>F9+H8</f>
        <v>1121.449</v>
      </c>
      <c r="I9" s="22">
        <f>E9+F9</f>
        <v>-36.455</v>
      </c>
      <c r="J9" s="25">
        <f>I9+J8</f>
        <v>1223.169</v>
      </c>
    </row>
    <row r="10" ht="20.05" customHeight="1">
      <c r="B10" s="36">
        <v>2017</v>
      </c>
      <c r="C10" s="21">
        <v>-83.27200000000001</v>
      </c>
      <c r="D10" s="22"/>
      <c r="E10" s="22">
        <f>641.575-C10-F10</f>
        <v>-1346.832</v>
      </c>
      <c r="F10" s="22">
        <f>2078.897-7.218</f>
        <v>2071.679</v>
      </c>
      <c r="G10" s="22">
        <f>E10+G9</f>
        <v>-1245.112</v>
      </c>
      <c r="H10" s="22">
        <f>F10+H9</f>
        <v>3193.128</v>
      </c>
      <c r="I10" s="22">
        <f>E10+F10</f>
        <v>724.847</v>
      </c>
      <c r="J10" s="25">
        <f>I10+J9</f>
        <v>1948.016</v>
      </c>
    </row>
    <row r="11" ht="20.05" customHeight="1">
      <c r="B11" s="36">
        <v>2018</v>
      </c>
      <c r="C11" s="21">
        <v>-163.241</v>
      </c>
      <c r="D11" s="22"/>
      <c r="E11" s="22">
        <f>716.446-C11</f>
        <v>879.687</v>
      </c>
      <c r="F11" s="22">
        <v>0</v>
      </c>
      <c r="G11" s="22">
        <f>E11+G10</f>
        <v>-365.425</v>
      </c>
      <c r="H11" s="22">
        <f>F11+H10</f>
        <v>3193.128</v>
      </c>
      <c r="I11" s="22">
        <f>E11+F11</f>
        <v>879.687</v>
      </c>
      <c r="J11" s="25">
        <f>I11+J10</f>
        <v>2827.703</v>
      </c>
    </row>
    <row r="12" ht="20.05" customHeight="1">
      <c r="B12" s="36">
        <v>2019</v>
      </c>
      <c r="C12" s="21">
        <v>-222.399</v>
      </c>
      <c r="D12" s="22"/>
      <c r="E12" s="22">
        <f>281.438-C12</f>
        <v>503.837</v>
      </c>
      <c r="F12" s="22">
        <v>0</v>
      </c>
      <c r="G12" s="22">
        <f>E12+G11</f>
        <v>138.412</v>
      </c>
      <c r="H12" s="22">
        <f>F12+H11</f>
        <v>3193.128</v>
      </c>
      <c r="I12" s="22">
        <f>E12+F12</f>
        <v>503.837</v>
      </c>
      <c r="J12" s="25">
        <f>I12+J11</f>
        <v>3331.54</v>
      </c>
    </row>
    <row r="13" ht="20.05" customHeight="1">
      <c r="B13" s="36">
        <v>2020</v>
      </c>
      <c r="C13" s="21">
        <v>-495.354</v>
      </c>
      <c r="D13" s="22"/>
      <c r="E13" s="22">
        <f>1320.346-C13</f>
        <v>1815.7</v>
      </c>
      <c r="F13" s="22">
        <v>0</v>
      </c>
      <c r="G13" s="22">
        <f>E13+G12</f>
        <v>1954.112</v>
      </c>
      <c r="H13" s="22">
        <f>F13+H12</f>
        <v>3193.128</v>
      </c>
      <c r="I13" s="22">
        <f>E13+F13</f>
        <v>1815.7</v>
      </c>
      <c r="J13" s="25">
        <f>I13+J12</f>
        <v>5147.24</v>
      </c>
    </row>
    <row r="14" ht="20.05" customHeight="1">
      <c r="B14" s="36">
        <v>2021</v>
      </c>
      <c r="C14" s="21"/>
      <c r="D14" s="22"/>
      <c r="E14" s="22">
        <f>SUM('Cashflow'!G28:G30)</f>
        <v>304.78</v>
      </c>
      <c r="F14" s="22">
        <v>0</v>
      </c>
      <c r="G14" s="22">
        <f>E14+G13</f>
        <v>2258.892</v>
      </c>
      <c r="H14" s="22">
        <f>F14+H13</f>
        <v>3193.128</v>
      </c>
      <c r="I14" s="22">
        <f>E14+F14</f>
        <v>304.78</v>
      </c>
      <c r="J14" s="22">
        <f>I14+J13</f>
        <v>5452.02</v>
      </c>
    </row>
  </sheetData>
  <mergeCells count="1">
    <mergeCell ref="B2:J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