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 " sheetId="4" r:id="rId7"/>
    <sheet name="Share price " sheetId="5" r:id="rId8"/>
  </sheets>
</workbook>
</file>

<file path=xl/sharedStrings.xml><?xml version="1.0" encoding="utf-8"?>
<sst xmlns="http://schemas.openxmlformats.org/spreadsheetml/2006/main" uniqueCount="52">
  <si>
    <t>Financial model</t>
  </si>
  <si>
    <t>$m</t>
  </si>
  <si>
    <t>4Q 2021</t>
  </si>
  <si>
    <t xml:space="preserve">Cashflow </t>
  </si>
  <si>
    <t xml:space="preserve">Growth </t>
  </si>
  <si>
    <t>Sales</t>
  </si>
  <si>
    <t xml:space="preserve">Cost ratio </t>
  </si>
  <si>
    <t xml:space="preserve">Cash costs  </t>
  </si>
  <si>
    <t xml:space="preserve">Operating </t>
  </si>
  <si>
    <t xml:space="preserve">Investment 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</si>
  <si>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</si>
  <si>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</si>
  <si>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</si>
  <si>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</si>
  <si>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</si>
  <si>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</si>
  <si>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</si>
  <si>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 xml:space="preserve">Ending </t>
  </si>
  <si>
    <t xml:space="preserve">Profit </t>
  </si>
  <si>
    <t>Non cash costs</t>
  </si>
  <si>
    <t xml:space="preserve">Balance sheet </t>
  </si>
  <si>
    <t xml:space="preserve">Other assets </t>
  </si>
  <si>
    <t xml:space="preserve">Depreciation </t>
  </si>
  <si>
    <t xml:space="preserve">Net other assets </t>
  </si>
  <si>
    <t xml:space="preserve">Check </t>
  </si>
  <si>
    <t xml:space="preserve">Net cash </t>
  </si>
  <si>
    <t xml:space="preserve">Valuation </t>
  </si>
  <si>
    <t xml:space="preserve">Capital </t>
  </si>
  <si>
    <t>Current value</t>
  </si>
  <si>
    <t>P/assets</t>
  </si>
  <si>
    <t>Yield</t>
  </si>
  <si>
    <t xml:space="preserve">Forecast </t>
  </si>
  <si>
    <t>Value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</si>
  <si>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</si>
  <si>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</si>
  <si>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</si>
  <si>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</si>
  <si>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</si>
  <si>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growth </t>
  </si>
  <si>
    <t>Cost ratio</t>
  </si>
  <si>
    <t>Costs</t>
  </si>
  <si>
    <t>Cashflow</t>
  </si>
  <si>
    <t>Net profit</t>
  </si>
  <si>
    <t xml:space="preserve">Non cash costs </t>
  </si>
  <si>
    <t>Capital</t>
  </si>
  <si>
    <t>Balance sheet</t>
  </si>
  <si>
    <t>Cash</t>
  </si>
  <si>
    <t>Assets</t>
  </si>
  <si>
    <t>Net cash</t>
  </si>
  <si>
    <t>Share price</t>
  </si>
  <si>
    <t>BYND</t>
  </si>
  <si>
    <t>Target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</si>
</sst>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&quot; &quot;;(#,##0)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60" fontId="0" borderId="3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465098</xdr:colOff>
      <xdr:row>2</xdr:row>
      <xdr:rowOff>44923</xdr:rowOff>
    </xdr:from>
    <xdr:to>
      <xdr:col>12</xdr:col>
      <xdr:colOff>669209</xdr:colOff>
      <xdr:row>43</xdr:row>
      <xdr:rowOff>192906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783098" y="919318"/>
          <a:ext cx="7671712" cy="1059309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89062" style="1" customWidth="1"/>
    <col min="2" max="2" width="15.1172" style="1" customWidth="1"/>
    <col min="3" max="6" width="8.58594" style="1" customWidth="1"/>
    <col min="7" max="16384" width="16.3516" style="1" customWidth="1"/>
  </cols>
  <sheetData>
    <row r="1" ht="41.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5"/>
    </row>
    <row r="4" ht="20.25" customHeight="1">
      <c r="B4" t="s" s="6">
        <v>3</v>
      </c>
      <c r="C4" s="7">
        <f>AVERAGE('Sales'!D14:D17)</f>
        <v>0.0586905754605777</v>
      </c>
      <c r="D4" s="8"/>
      <c r="E4" s="8"/>
      <c r="F4" s="9">
        <f>AVERAGE(C5:F5)</f>
        <v>0.015</v>
      </c>
    </row>
    <row r="5" ht="20.05" customHeight="1">
      <c r="B5" t="s" s="10">
        <v>4</v>
      </c>
      <c r="C5" s="11">
        <v>0.02</v>
      </c>
      <c r="D5" s="12">
        <v>-0.01</v>
      </c>
      <c r="E5" s="12">
        <v>0.03</v>
      </c>
      <c r="F5" s="12">
        <v>0.02</v>
      </c>
    </row>
    <row r="6" ht="20.05" customHeight="1">
      <c r="B6" t="s" s="10">
        <v>5</v>
      </c>
      <c r="C6" s="13">
        <f>'Sales'!B17*(1+C5)</f>
        <v>108.56064</v>
      </c>
      <c r="D6" s="14">
        <f>C6*(1+D5)</f>
        <v>107.4750336</v>
      </c>
      <c r="E6" s="14">
        <f>D6*(1+E5)</f>
        <v>110.699284608</v>
      </c>
      <c r="F6" s="14">
        <f>E6*(1+F5)</f>
        <v>112.913270300160</v>
      </c>
    </row>
    <row r="7" ht="20.05" customHeight="1">
      <c r="B7" t="s" s="10">
        <v>6</v>
      </c>
      <c r="C7" s="11">
        <f>AVERAGE('Sales'!F13)</f>
        <v>-0.979937731446192</v>
      </c>
      <c r="D7" s="12">
        <f>C7</f>
        <v>-0.979937731446192</v>
      </c>
      <c r="E7" s="12">
        <f>D7</f>
        <v>-0.979937731446192</v>
      </c>
      <c r="F7" s="12">
        <f>E7</f>
        <v>-0.979937731446192</v>
      </c>
    </row>
    <row r="8" ht="20.05" customHeight="1">
      <c r="B8" t="s" s="10">
        <v>7</v>
      </c>
      <c r="C8" s="13">
        <f>C6*C7</f>
        <v>-106.382667285947</v>
      </c>
      <c r="D8" s="15">
        <f>D6*D7</f>
        <v>-105.318840613087</v>
      </c>
      <c r="E8" s="15">
        <f>E6*E7</f>
        <v>-108.478405831480</v>
      </c>
      <c r="F8" s="15">
        <f>F6*F7</f>
        <v>-110.647973948109</v>
      </c>
    </row>
    <row r="9" ht="20.05" customHeight="1">
      <c r="B9" t="s" s="10">
        <v>8</v>
      </c>
      <c r="C9" s="13">
        <f>C6+C8</f>
        <v>2.177972714053</v>
      </c>
      <c r="D9" s="15">
        <f>D6+D8</f>
        <v>2.156192986913</v>
      </c>
      <c r="E9" s="15">
        <f>E6+E8</f>
        <v>2.220878776520</v>
      </c>
      <c r="F9" s="15">
        <f>F6+F8</f>
        <v>2.265296352051</v>
      </c>
    </row>
    <row r="10" ht="20.05" customHeight="1">
      <c r="B10" t="s" s="10">
        <v>9</v>
      </c>
      <c r="C10" s="13">
        <f>AVERAGE('Cashflow '!E3)</f>
        <v>-3.73</v>
      </c>
      <c r="D10" s="15">
        <f>C10</f>
        <v>-3.73</v>
      </c>
      <c r="E10" s="15">
        <f>D10</f>
        <v>-3.73</v>
      </c>
      <c r="F10" s="15">
        <f>E10</f>
        <v>-3.73</v>
      </c>
    </row>
    <row r="11" ht="20.05" customHeight="1">
      <c r="B11" t="s" s="10">
        <v>10</v>
      </c>
      <c r="C11" s="13">
        <f>C12+C15+C13</f>
        <v>1.552027285947</v>
      </c>
      <c r="D11" s="15">
        <f>D12+D15+D13</f>
        <v>1.573807013087</v>
      </c>
      <c r="E11" s="15">
        <f>E12+E15+E13</f>
        <v>1.509121223480</v>
      </c>
      <c r="F11" s="15">
        <f>F12+F15+F13</f>
        <v>1.464703647949</v>
      </c>
    </row>
    <row r="12" ht="20.05" customHeight="1">
      <c r="B12" t="s" s="10">
        <v>11</v>
      </c>
      <c r="C12" s="13">
        <f>-'Balance sheet '!F13/20</f>
        <v>-61.25</v>
      </c>
      <c r="D12" s="15">
        <f>-C26/20</f>
        <v>-58.1875</v>
      </c>
      <c r="E12" s="15">
        <f>-D26/20</f>
        <v>-55.278125</v>
      </c>
      <c r="F12" s="15">
        <f>-E26/20</f>
        <v>-52.51421875</v>
      </c>
    </row>
    <row r="13" ht="20.05" customHeight="1">
      <c r="B13" t="s" s="10">
        <v>12</v>
      </c>
      <c r="C13" s="13">
        <f>IF(C21&gt;0,-C21*0.3,0)</f>
        <v>0</v>
      </c>
      <c r="D13" s="15">
        <f>IF(D21&gt;0,-D21*0.3,0)</f>
        <v>0</v>
      </c>
      <c r="E13" s="15">
        <f>IF(E21&gt;0,-E21*0.3,0)</f>
        <v>0</v>
      </c>
      <c r="F13" s="15">
        <f>IF(F21&gt;0,-F21*0.3,0)</f>
        <v>0</v>
      </c>
    </row>
    <row r="14" ht="20.05" customHeight="1">
      <c r="B14" t="s" s="10">
        <v>13</v>
      </c>
      <c r="C14" s="13">
        <f>C9+C10+C12+C13</f>
        <v>-62.802027285947</v>
      </c>
      <c r="D14" s="15">
        <f>D9+D10+D12+D13</f>
        <v>-59.761307013087</v>
      </c>
      <c r="E14" s="15">
        <f>E9+E10+E12+E13</f>
        <v>-56.787246223480</v>
      </c>
      <c r="F14" s="15">
        <f>F9+F10+F12+F13</f>
        <v>-53.978922397949</v>
      </c>
    </row>
    <row r="15" ht="20.05" customHeight="1">
      <c r="B15" t="s" s="10">
        <v>14</v>
      </c>
      <c r="C15" s="13">
        <f>-MIN(0,C14)</f>
        <v>62.802027285947</v>
      </c>
      <c r="D15" s="15">
        <f>-MIN(C27,D14)</f>
        <v>59.761307013087</v>
      </c>
      <c r="E15" s="15">
        <f>-MIN(D27,E14)</f>
        <v>56.787246223480</v>
      </c>
      <c r="F15" s="15">
        <f>-MIN(E27,F14)</f>
        <v>53.978922397949</v>
      </c>
    </row>
    <row r="16" ht="20.05" customHeight="1">
      <c r="B16" t="s" s="10">
        <v>15</v>
      </c>
      <c r="C16" s="13">
        <f>'Balance sheet '!B13</f>
        <v>886.442</v>
      </c>
      <c r="D16" s="15">
        <f>C18</f>
        <v>886.442</v>
      </c>
      <c r="E16" s="15">
        <f>D18</f>
        <v>886.442</v>
      </c>
      <c r="F16" s="15">
        <f>E18</f>
        <v>886.442</v>
      </c>
    </row>
    <row r="17" ht="20.05" customHeight="1">
      <c r="B17" t="s" s="10">
        <v>16</v>
      </c>
      <c r="C17" s="13">
        <f>C9+C10+C11</f>
        <v>0</v>
      </c>
      <c r="D17" s="15">
        <f>D9+D10+D11</f>
        <v>0</v>
      </c>
      <c r="E17" s="15">
        <f>E9+E10+E11</f>
        <v>0</v>
      </c>
      <c r="F17" s="15">
        <f>F9+F10+F11</f>
        <v>0</v>
      </c>
    </row>
    <row r="18" ht="20.05" customHeight="1">
      <c r="B18" t="s" s="10">
        <v>17</v>
      </c>
      <c r="C18" s="13">
        <f>C16+C17</f>
        <v>886.442</v>
      </c>
      <c r="D18" s="15">
        <f>D16+D17</f>
        <v>886.442</v>
      </c>
      <c r="E18" s="15">
        <f>E16+E17</f>
        <v>886.442</v>
      </c>
      <c r="F18" s="15">
        <f>F16+F17</f>
        <v>886.442</v>
      </c>
    </row>
    <row r="19" ht="20.05" customHeight="1">
      <c r="B19" t="s" s="16">
        <v>18</v>
      </c>
      <c r="C19" s="13"/>
      <c r="D19" s="15"/>
      <c r="E19" s="15"/>
      <c r="F19" s="15"/>
    </row>
    <row r="20" ht="20.05" customHeight="1">
      <c r="B20" t="s" s="10">
        <v>19</v>
      </c>
      <c r="C20" s="13">
        <f>-AVERAGE('Cashflow '!C17)</f>
        <v>-14.5</v>
      </c>
      <c r="D20" s="15">
        <f>C20</f>
        <v>-14.5</v>
      </c>
      <c r="E20" s="15">
        <f>D20</f>
        <v>-14.5</v>
      </c>
      <c r="F20" s="15">
        <f>E20</f>
        <v>-14.5</v>
      </c>
    </row>
    <row r="21" ht="20.05" customHeight="1">
      <c r="B21" t="s" s="10">
        <v>18</v>
      </c>
      <c r="C21" s="13">
        <f>C6+C8+C20</f>
        <v>-12.322027285947</v>
      </c>
      <c r="D21" s="15">
        <f>D6+D8+D20</f>
        <v>-12.343807013087</v>
      </c>
      <c r="E21" s="15">
        <f>E6+E8+E20</f>
        <v>-12.279121223480</v>
      </c>
      <c r="F21" s="15">
        <f>F6+F8+F20</f>
        <v>-12.234703647949</v>
      </c>
    </row>
    <row r="22" ht="20.05" customHeight="1">
      <c r="B22" t="s" s="16">
        <v>20</v>
      </c>
      <c r="C22" s="13"/>
      <c r="D22" s="15"/>
      <c r="E22" s="17"/>
      <c r="F22" s="15"/>
    </row>
    <row r="23" ht="20.05" customHeight="1">
      <c r="B23" t="s" s="10">
        <v>21</v>
      </c>
      <c r="C23" s="13">
        <f>'Balance sheet '!D13+'Balance sheet '!E13-C10</f>
        <v>629.188</v>
      </c>
      <c r="D23" s="15">
        <f>C23-D10</f>
        <v>632.918</v>
      </c>
      <c r="E23" s="15">
        <f>D23-E10</f>
        <v>636.648</v>
      </c>
      <c r="F23" s="15">
        <f>E23-F10</f>
        <v>640.378</v>
      </c>
    </row>
    <row r="24" ht="20.05" customHeight="1">
      <c r="B24" t="s" s="10">
        <v>22</v>
      </c>
      <c r="C24" s="13">
        <f>'Balance sheet '!E13-C20</f>
        <v>94</v>
      </c>
      <c r="D24" s="15">
        <f>C24-D20</f>
        <v>108.5</v>
      </c>
      <c r="E24" s="15">
        <f>D24-E20</f>
        <v>123</v>
      </c>
      <c r="F24" s="15">
        <f>E24-F20</f>
        <v>137.5</v>
      </c>
    </row>
    <row r="25" ht="20.05" customHeight="1">
      <c r="B25" t="s" s="10">
        <v>23</v>
      </c>
      <c r="C25" s="13">
        <f>C23-C24</f>
        <v>535.188</v>
      </c>
      <c r="D25" s="15">
        <f>D23-D24</f>
        <v>524.418</v>
      </c>
      <c r="E25" s="15">
        <f>E23-E24</f>
        <v>513.648</v>
      </c>
      <c r="F25" s="15">
        <f>F23-F24</f>
        <v>502.878</v>
      </c>
    </row>
    <row r="26" ht="20.05" customHeight="1">
      <c r="B26" t="s" s="10">
        <v>11</v>
      </c>
      <c r="C26" s="13">
        <f>'Balance sheet '!F13+C12</f>
        <v>1163.75</v>
      </c>
      <c r="D26" s="15">
        <f>C26+D12</f>
        <v>1105.5625</v>
      </c>
      <c r="E26" s="15">
        <f>D26+E12</f>
        <v>1050.284375</v>
      </c>
      <c r="F26" s="15">
        <f>E26+F12</f>
        <v>997.77015625</v>
      </c>
    </row>
    <row r="27" ht="20.05" customHeight="1">
      <c r="B27" t="s" s="10">
        <v>14</v>
      </c>
      <c r="C27" s="13">
        <f>C15</f>
        <v>62.802027285947</v>
      </c>
      <c r="D27" s="15">
        <f>C27+D15</f>
        <v>122.563334299034</v>
      </c>
      <c r="E27" s="15">
        <f>D27+E15</f>
        <v>179.350580522514</v>
      </c>
      <c r="F27" s="15">
        <f>E27+F15</f>
        <v>233.329502920463</v>
      </c>
    </row>
    <row r="28" ht="20.05" customHeight="1">
      <c r="B28" t="s" s="10">
        <v>12</v>
      </c>
      <c r="C28" s="13">
        <f>'Balance sheet '!G13+C21+C13</f>
        <v>194.782972714053</v>
      </c>
      <c r="D28" s="15">
        <f>C28+D21+D13</f>
        <v>182.439165700966</v>
      </c>
      <c r="E28" s="15">
        <f>D28+E21+E13</f>
        <v>170.160044477486</v>
      </c>
      <c r="F28" s="15">
        <f>E28+F21+F13</f>
        <v>157.925340829537</v>
      </c>
    </row>
    <row r="29" ht="20.05" customHeight="1">
      <c r="B29" t="s" s="10">
        <v>24</v>
      </c>
      <c r="C29" s="13">
        <f>C26+C27+C28-C18-C25</f>
        <v>-0.295</v>
      </c>
      <c r="D29" s="15">
        <f>D26+D27+D28-D18-D25</f>
        <v>-0.295</v>
      </c>
      <c r="E29" s="15">
        <f>E26+E27+E28-E18-E25</f>
        <v>-0.295</v>
      </c>
      <c r="F29" s="15">
        <f>F26+F27+F28-F18-F25</f>
        <v>-0.295</v>
      </c>
    </row>
    <row r="30" ht="20.05" customHeight="1">
      <c r="B30" t="s" s="10">
        <v>25</v>
      </c>
      <c r="C30" s="13">
        <f>C18-C26-C27</f>
        <v>-340.110027285947</v>
      </c>
      <c r="D30" s="15">
        <f>D18-D26-D27</f>
        <v>-341.683834299034</v>
      </c>
      <c r="E30" s="15">
        <f>E18-E26-E27</f>
        <v>-343.192955522514</v>
      </c>
      <c r="F30" s="15">
        <f>F18-F26-F27</f>
        <v>-344.657659170463</v>
      </c>
    </row>
    <row r="31" ht="20.05" customHeight="1">
      <c r="B31" t="s" s="16">
        <v>26</v>
      </c>
      <c r="C31" s="13"/>
      <c r="D31" s="15"/>
      <c r="E31" s="15"/>
      <c r="F31" s="15"/>
    </row>
    <row r="32" ht="20.05" customHeight="1">
      <c r="B32" t="s" s="10">
        <v>27</v>
      </c>
      <c r="C32" s="13">
        <f>'Cashflow '!I17-C11</f>
        <v>-1323.832027285950</v>
      </c>
      <c r="D32" s="15">
        <f>C32-D11</f>
        <v>-1325.405834299040</v>
      </c>
      <c r="E32" s="15">
        <f>D32-E11</f>
        <v>-1326.914955522520</v>
      </c>
      <c r="F32" s="15">
        <f>E32-F11</f>
        <v>-1328.379659170470</v>
      </c>
    </row>
    <row r="33" ht="20.05" customHeight="1">
      <c r="B33" t="s" s="10">
        <v>28</v>
      </c>
      <c r="C33" s="13"/>
      <c r="D33" s="15"/>
      <c r="E33" s="15"/>
      <c r="F33" s="15">
        <v>4085</v>
      </c>
    </row>
    <row r="34" ht="20.05" customHeight="1">
      <c r="B34" t="s" s="10">
        <v>29</v>
      </c>
      <c r="C34" s="13"/>
      <c r="D34" s="15"/>
      <c r="E34" s="15"/>
      <c r="F34" s="15">
        <f>F33/(F18+F25)</f>
        <v>2.94028733481127</v>
      </c>
    </row>
    <row r="35" ht="20.05" customHeight="1">
      <c r="B35" t="s" s="10">
        <v>30</v>
      </c>
      <c r="C35" s="13"/>
      <c r="D35" s="15"/>
      <c r="E35" s="15"/>
      <c r="F35" s="18">
        <f>-(C13+D13+E13+F13)/F33</f>
        <v>0</v>
      </c>
    </row>
    <row r="36" ht="20.05" customHeight="1">
      <c r="B36" t="s" s="10">
        <v>5</v>
      </c>
      <c r="C36" s="13"/>
      <c r="D36" s="15"/>
      <c r="E36" s="15"/>
      <c r="F36" s="15">
        <f>SUM(F6)*4</f>
        <v>451.653081200640</v>
      </c>
    </row>
    <row r="37" ht="20.05" customHeight="1">
      <c r="B37" t="s" s="10">
        <v>26</v>
      </c>
      <c r="C37" s="13"/>
      <c r="D37" s="15"/>
      <c r="E37" s="15"/>
      <c r="F37" s="15">
        <f>F33/F36</f>
        <v>9.04455248958061</v>
      </c>
    </row>
    <row r="38" ht="20.05" customHeight="1">
      <c r="B38" t="s" s="10">
        <v>31</v>
      </c>
      <c r="C38" s="13"/>
      <c r="D38" s="15"/>
      <c r="E38" s="15"/>
      <c r="F38" s="15">
        <v>3.5</v>
      </c>
    </row>
    <row r="39" ht="20.05" customHeight="1">
      <c r="B39" t="s" s="10">
        <v>32</v>
      </c>
      <c r="C39" s="13"/>
      <c r="D39" s="15"/>
      <c r="E39" s="15"/>
      <c r="F39" s="15">
        <f>F36*F38</f>
        <v>1580.785784202240</v>
      </c>
    </row>
    <row r="40" ht="20.05" customHeight="1">
      <c r="B40" t="s" s="10">
        <v>33</v>
      </c>
      <c r="C40" s="13"/>
      <c r="D40" s="15"/>
      <c r="E40" s="15"/>
      <c r="F40" s="15">
        <f>F33/F42</f>
        <v>63.3235157339947</v>
      </c>
    </row>
    <row r="41" ht="20.05" customHeight="1">
      <c r="B41" t="s" s="10">
        <v>34</v>
      </c>
      <c r="C41" s="13"/>
      <c r="D41" s="15"/>
      <c r="E41" s="15"/>
      <c r="F41" s="15">
        <f>F39/F40</f>
        <v>24.9636452726772</v>
      </c>
    </row>
    <row r="42" ht="20.05" customHeight="1">
      <c r="B42" t="s" s="10">
        <v>35</v>
      </c>
      <c r="C42" s="13"/>
      <c r="D42" s="15"/>
      <c r="E42" s="15"/>
      <c r="F42" s="15">
        <f>'Share price '!B14</f>
        <v>64.51000000000001</v>
      </c>
    </row>
    <row r="43" ht="20.05" customHeight="1">
      <c r="B43" t="s" s="10">
        <v>36</v>
      </c>
      <c r="C43" s="13"/>
      <c r="D43" s="15"/>
      <c r="E43" s="15"/>
      <c r="F43" s="18">
        <f>F41/F42-1</f>
        <v>-0.6130267358134061</v>
      </c>
    </row>
    <row r="44" ht="20.05" customHeight="1">
      <c r="B44" t="s" s="10">
        <v>37</v>
      </c>
      <c r="C44" s="13"/>
      <c r="D44" s="15"/>
      <c r="E44" s="15"/>
      <c r="F44" s="18">
        <f>'Sales'!B17/'Sales'!B13-1</f>
        <v>0.127457627118644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2:F2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6" width="9.60156" style="19" customWidth="1"/>
    <col min="7" max="16384" width="16.3516" style="19" customWidth="1"/>
  </cols>
  <sheetData>
    <row r="1" ht="27.65" customHeight="1">
      <c r="A1" t="s" s="2">
        <v>5</v>
      </c>
      <c r="B1" s="2"/>
      <c r="C1" s="2"/>
      <c r="D1" s="2"/>
      <c r="E1" s="2"/>
      <c r="F1" s="2"/>
    </row>
    <row r="2" ht="32.25" customHeight="1">
      <c r="A2" t="s" s="4">
        <v>1</v>
      </c>
      <c r="B2" t="s" s="4">
        <v>5</v>
      </c>
      <c r="C2" t="s" s="4">
        <v>31</v>
      </c>
      <c r="D2" t="s" s="4">
        <v>38</v>
      </c>
      <c r="E2" t="s" s="4">
        <v>39</v>
      </c>
      <c r="F2" t="s" s="4">
        <v>40</v>
      </c>
    </row>
    <row r="3" ht="20.25" customHeight="1">
      <c r="A3" s="20">
        <v>2018</v>
      </c>
      <c r="B3" s="21">
        <v>12.8</v>
      </c>
      <c r="C3" s="22"/>
      <c r="D3" s="9"/>
      <c r="E3" s="9">
        <f>('Cashflow '!B3+'Cashflow '!C3-B3)/B3</f>
        <v>-1.390625</v>
      </c>
      <c r="F3" s="9"/>
    </row>
    <row r="4" ht="20.05" customHeight="1">
      <c r="A4" s="23"/>
      <c r="B4" s="24">
        <v>17.4</v>
      </c>
      <c r="C4" s="25"/>
      <c r="D4" s="12">
        <f>B4/B3-1</f>
        <v>0.359375</v>
      </c>
      <c r="E4" s="12">
        <f>('Cashflow '!B4+'Cashflow '!C4-B4)/B4</f>
        <v>-1.37241379310345</v>
      </c>
      <c r="F4" s="12"/>
    </row>
    <row r="5" ht="20.05" customHeight="1">
      <c r="A5" s="23"/>
      <c r="B5" s="24">
        <v>26.3</v>
      </c>
      <c r="C5" s="25"/>
      <c r="D5" s="12">
        <f>B5/B4-1</f>
        <v>0.511494252873563</v>
      </c>
      <c r="E5" s="12">
        <f>('Cashflow '!B5+'Cashflow '!C5-B5)/B5</f>
        <v>-1.29923954372624</v>
      </c>
      <c r="F5" s="12"/>
    </row>
    <row r="6" ht="20.05" customHeight="1">
      <c r="A6" s="23"/>
      <c r="B6" s="24">
        <v>31.4</v>
      </c>
      <c r="C6" s="25"/>
      <c r="D6" s="12">
        <f>B6/B5-1</f>
        <v>0.193916349809886</v>
      </c>
      <c r="E6" s="12">
        <f>('Cashflow '!B6+'Cashflow '!C6-B6)/B6</f>
        <v>-1.17993630573248</v>
      </c>
      <c r="F6" s="12"/>
    </row>
    <row r="7" ht="20.05" customHeight="1">
      <c r="A7" s="26">
        <v>2019</v>
      </c>
      <c r="B7" s="24">
        <v>40.2</v>
      </c>
      <c r="C7" s="25"/>
      <c r="D7" s="12">
        <f>B7/B6-1</f>
        <v>0.280254777070064</v>
      </c>
      <c r="E7" s="12">
        <f>('Cashflow '!B7+'Cashflow '!C7-B7)/B7</f>
        <v>-1.11691542288557</v>
      </c>
      <c r="F7" s="12">
        <f>AVERAGE(E4:E7)</f>
        <v>-1.24212626636194</v>
      </c>
    </row>
    <row r="8" ht="20.05" customHeight="1">
      <c r="A8" s="23"/>
      <c r="B8" s="24">
        <v>67.2</v>
      </c>
      <c r="C8" s="25"/>
      <c r="D8" s="12">
        <f>B8/B7-1</f>
        <v>0.6716417910447759</v>
      </c>
      <c r="E8" s="12">
        <f>('Cashflow '!B8+'Cashflow '!C8-B8)/B8</f>
        <v>-1.10922619047619</v>
      </c>
      <c r="F8" s="12">
        <f>AVERAGE(E5:E8)</f>
        <v>-1.17632936570512</v>
      </c>
    </row>
    <row r="9" ht="20.05" customHeight="1">
      <c r="A9" s="23"/>
      <c r="B9" s="24">
        <v>92</v>
      </c>
      <c r="C9" s="25"/>
      <c r="D9" s="12">
        <f>B9/B8-1</f>
        <v>0.369047619047619</v>
      </c>
      <c r="E9" s="12">
        <f>('Cashflow '!B9+'Cashflow '!C9-B9)/B9</f>
        <v>-0.933478260869565</v>
      </c>
      <c r="F9" s="12">
        <f>AVERAGE(E6:E9)</f>
        <v>-1.08488904499095</v>
      </c>
    </row>
    <row r="10" ht="20.05" customHeight="1">
      <c r="A10" s="23"/>
      <c r="B10" s="24">
        <v>98.5</v>
      </c>
      <c r="C10" s="27"/>
      <c r="D10" s="12">
        <f>B10/B9-1</f>
        <v>0.0706521739130435</v>
      </c>
      <c r="E10" s="12">
        <f>('Cashflow '!B10+'Cashflow '!C10-B10)/B10</f>
        <v>-0.964263959390863</v>
      </c>
      <c r="F10" s="12">
        <f>AVERAGE(E7:E10)</f>
        <v>-1.03097095840555</v>
      </c>
    </row>
    <row r="11" ht="20.05" customHeight="1">
      <c r="A11" s="26">
        <v>2020</v>
      </c>
      <c r="B11" s="24">
        <v>97.09999999999999</v>
      </c>
      <c r="C11" s="25"/>
      <c r="D11" s="12">
        <f>B11/B10-1</f>
        <v>-0.0142131979695431</v>
      </c>
      <c r="E11" s="12">
        <f>('Cashflow '!B11+'Cashflow '!C11-B11)/B11</f>
        <v>-0.8898043254376929</v>
      </c>
      <c r="F11" s="12">
        <f>AVERAGE(E8:E11)</f>
        <v>-0.974193184043578</v>
      </c>
    </row>
    <row r="12" ht="20.05" customHeight="1">
      <c r="A12" s="23"/>
      <c r="B12" s="24">
        <v>113.3</v>
      </c>
      <c r="C12" s="27">
        <v>107.52</v>
      </c>
      <c r="D12" s="12">
        <f>B12/B11-1</f>
        <v>0.166838311019567</v>
      </c>
      <c r="E12" s="12">
        <f>('Cashflow '!B12+'Cashflow '!C12-B12)/B12</f>
        <v>-0.973521624007061</v>
      </c>
      <c r="F12" s="12">
        <f>AVERAGE(E9:E12)</f>
        <v>-0.940267042426296</v>
      </c>
    </row>
    <row r="13" ht="20.05" customHeight="1">
      <c r="A13" s="23"/>
      <c r="B13" s="24">
        <v>94.40000000000001</v>
      </c>
      <c r="C13" s="27">
        <v>128.8</v>
      </c>
      <c r="D13" s="12">
        <f>B13/B12-1</f>
        <v>-0.166813768755516</v>
      </c>
      <c r="E13" s="12">
        <f>('Cashflow '!B13+'Cashflow '!C13-B13)/B13</f>
        <v>-1.09216101694915</v>
      </c>
      <c r="F13" s="12">
        <f>AVERAGE(E10:E13)</f>
        <v>-0.979937731446192</v>
      </c>
    </row>
    <row r="14" ht="20.05" customHeight="1">
      <c r="A14" s="23"/>
      <c r="B14" s="24">
        <v>102</v>
      </c>
      <c r="C14" s="27">
        <v>101.008</v>
      </c>
      <c r="D14" s="12">
        <f>B14/B13-1</f>
        <v>0.08050847457627119</v>
      </c>
      <c r="E14" s="12">
        <f>('Cashflow '!B14+'Cashflow '!C14-B14)/B14</f>
        <v>-1.12745098039216</v>
      </c>
      <c r="F14" s="12">
        <f>AVERAGE(E11:E14)</f>
        <v>-1.02073448669652</v>
      </c>
    </row>
    <row r="15" ht="20.05" customHeight="1">
      <c r="A15" s="26">
        <v>2021</v>
      </c>
      <c r="B15" s="24">
        <v>108.1</v>
      </c>
      <c r="C15" s="27">
        <v>117.3</v>
      </c>
      <c r="D15" s="12">
        <f>B15/B14-1</f>
        <v>0.0598039215686275</v>
      </c>
      <c r="E15" s="12">
        <f>('Cashflow '!B15+'Cashflow '!C15-B15)/B15</f>
        <v>-1.12118408880666</v>
      </c>
      <c r="F15" s="12">
        <f>AVERAGE(E12:E15)</f>
        <v>-1.07857942753876</v>
      </c>
    </row>
    <row r="16" ht="20.05" customHeight="1">
      <c r="A16" s="23"/>
      <c r="B16" s="24">
        <v>149.4</v>
      </c>
      <c r="C16" s="17">
        <v>116</v>
      </c>
      <c r="D16" s="12">
        <f>B16/B15-1</f>
        <v>0.382053654024052</v>
      </c>
      <c r="E16" s="12">
        <f>('Cashflow '!B16+'Cashflow '!C16-B16)/B16</f>
        <v>-1.03212851405622</v>
      </c>
      <c r="F16" s="12">
        <f>AVERAGE(E13:E16)</f>
        <v>-1.09323115005105</v>
      </c>
    </row>
    <row r="17" ht="20.05" customHeight="1">
      <c r="A17" s="23"/>
      <c r="B17" s="24">
        <v>106.432</v>
      </c>
      <c r="C17" s="17">
        <v>108.56064</v>
      </c>
      <c r="D17" s="12">
        <f>B17/B16-1</f>
        <v>-0.28760374832664</v>
      </c>
      <c r="E17" s="12">
        <f>('Cashflow '!B17+'Cashflow '!C17-B17)/B17</f>
        <v>-1.37802540589296</v>
      </c>
      <c r="F17" s="12">
        <f>AVERAGE(E14:E17)</f>
        <v>-1.164697247287</v>
      </c>
    </row>
    <row r="18" ht="20.05" customHeight="1">
      <c r="A18" s="23"/>
      <c r="B18" s="24"/>
      <c r="C18" s="17">
        <f>'Model'!C6</f>
        <v>108.56064</v>
      </c>
      <c r="D18" s="12"/>
      <c r="E18" s="12"/>
      <c r="F18" s="12">
        <f>'Model'!C7</f>
        <v>-0.979937731446192</v>
      </c>
    </row>
    <row r="19" ht="20.05" customHeight="1">
      <c r="A19" s="26">
        <v>2020</v>
      </c>
      <c r="B19" s="24"/>
      <c r="C19" s="27">
        <f>'Model'!D6</f>
        <v>107.4750336</v>
      </c>
      <c r="D19" s="12"/>
      <c r="E19" s="12"/>
      <c r="F19" s="12"/>
    </row>
    <row r="20" ht="20.05" customHeight="1">
      <c r="A20" s="23"/>
      <c r="B20" s="24"/>
      <c r="C20" s="27">
        <f>'Model'!E6</f>
        <v>110.699284608</v>
      </c>
      <c r="D20" s="12"/>
      <c r="E20" s="12"/>
      <c r="F20" s="12"/>
    </row>
    <row r="21" ht="20.05" customHeight="1">
      <c r="A21" s="23"/>
      <c r="B21" s="24"/>
      <c r="C21" s="27">
        <f>'Model'!F6</f>
        <v>112.913270300160</v>
      </c>
      <c r="D21" s="12"/>
      <c r="E21" s="12"/>
      <c r="F21" s="12"/>
    </row>
  </sheetData>
  <mergeCells count="1">
    <mergeCell ref="A1:F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I18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9" width="9.34375" style="28" customWidth="1"/>
    <col min="10" max="16384" width="16.3516" style="28" customWidth="1"/>
  </cols>
  <sheetData>
    <row r="1" ht="27.65" customHeight="1">
      <c r="A1" t="s" s="2">
        <v>41</v>
      </c>
      <c r="B1" s="2"/>
      <c r="C1" s="2"/>
      <c r="D1" s="2"/>
      <c r="E1" s="2"/>
      <c r="F1" s="2"/>
      <c r="G1" s="2"/>
      <c r="H1" s="2"/>
      <c r="I1" s="2"/>
    </row>
    <row r="2" ht="32.25" customHeight="1">
      <c r="A2" t="s" s="4">
        <v>1</v>
      </c>
      <c r="B2" t="s" s="4">
        <v>42</v>
      </c>
      <c r="C2" t="s" s="4">
        <v>43</v>
      </c>
      <c r="D2" t="s" s="4">
        <v>8</v>
      </c>
      <c r="E2" t="s" s="4">
        <v>9</v>
      </c>
      <c r="F2" t="s" s="4">
        <v>10</v>
      </c>
      <c r="G2" t="s" s="4">
        <v>3</v>
      </c>
      <c r="H2" t="s" s="4">
        <v>41</v>
      </c>
      <c r="I2" t="s" s="4">
        <v>44</v>
      </c>
    </row>
    <row r="3" ht="20.25" customHeight="1">
      <c r="A3" s="20">
        <v>2018</v>
      </c>
      <c r="B3" s="29">
        <v>-5.7</v>
      </c>
      <c r="C3" s="30">
        <v>0.7</v>
      </c>
      <c r="D3" s="30">
        <v>-4.89</v>
      </c>
      <c r="E3" s="30">
        <v>-3.73</v>
      </c>
      <c r="F3" s="30">
        <v>-1.37</v>
      </c>
      <c r="G3" s="30">
        <f>D3+E3</f>
        <v>-8.619999999999999</v>
      </c>
      <c r="H3" s="30"/>
      <c r="I3" s="30">
        <f>-F3</f>
        <v>1.37</v>
      </c>
    </row>
    <row r="4" ht="20.05" customHeight="1">
      <c r="A4" s="23"/>
      <c r="B4" s="13">
        <v>-7.4</v>
      </c>
      <c r="C4" s="15">
        <v>0.92</v>
      </c>
      <c r="D4" s="15">
        <v>-7.78</v>
      </c>
      <c r="E4" s="15">
        <v>-6.3</v>
      </c>
      <c r="F4" s="15">
        <v>8.52</v>
      </c>
      <c r="G4" s="15">
        <f>D4+E4</f>
        <v>-14.08</v>
      </c>
      <c r="H4" s="15"/>
      <c r="I4" s="15">
        <f>-F4+I3</f>
        <v>-7.15</v>
      </c>
    </row>
    <row r="5" ht="20.05" customHeight="1">
      <c r="A5" s="23"/>
      <c r="B5" s="13">
        <v>-9.300000000000001</v>
      </c>
      <c r="C5" s="15">
        <v>1.43</v>
      </c>
      <c r="D5" s="15">
        <v>-11.71</v>
      </c>
      <c r="E5" s="15">
        <v>-8.17</v>
      </c>
      <c r="F5" s="15">
        <v>46.18</v>
      </c>
      <c r="G5" s="15">
        <f>D5+E5</f>
        <v>-19.88</v>
      </c>
      <c r="H5" s="15"/>
      <c r="I5" s="15">
        <f>-F5+I4</f>
        <v>-53.33</v>
      </c>
    </row>
    <row r="6" ht="20.05" customHeight="1">
      <c r="A6" s="23"/>
      <c r="B6" s="13">
        <v>-7.5</v>
      </c>
      <c r="C6" s="15">
        <v>1.85</v>
      </c>
      <c r="D6" s="15">
        <v>-13.34</v>
      </c>
      <c r="E6" s="15">
        <v>-5.04</v>
      </c>
      <c r="F6" s="15">
        <v>-46.13</v>
      </c>
      <c r="G6" s="15">
        <f>D6+E6</f>
        <v>-18.38</v>
      </c>
      <c r="H6" s="15"/>
      <c r="I6" s="15">
        <f>-F6+I5</f>
        <v>-7.2</v>
      </c>
    </row>
    <row r="7" ht="20.05" customHeight="1">
      <c r="A7" s="26">
        <v>2019</v>
      </c>
      <c r="B7" s="13">
        <v>-6.6</v>
      </c>
      <c r="C7" s="15">
        <v>1.9</v>
      </c>
      <c r="D7" s="15">
        <v>-13.3</v>
      </c>
      <c r="E7" s="15">
        <v>-5</v>
      </c>
      <c r="F7" s="15">
        <v>-0.6</v>
      </c>
      <c r="G7" s="15">
        <f>D7+E7</f>
        <v>-18.3</v>
      </c>
      <c r="H7" s="15">
        <f>AVERAGE(G4:G7)</f>
        <v>-17.66</v>
      </c>
      <c r="I7" s="15">
        <f>-F7+I6</f>
        <v>-6.6</v>
      </c>
    </row>
    <row r="8" ht="20.05" customHeight="1">
      <c r="A8" s="23"/>
      <c r="B8" s="13">
        <v>-9.4</v>
      </c>
      <c r="C8" s="15">
        <v>2.06</v>
      </c>
      <c r="D8" s="15">
        <v>-9.07</v>
      </c>
      <c r="E8" s="15">
        <v>-5.88</v>
      </c>
      <c r="F8" s="15">
        <v>256.56</v>
      </c>
      <c r="G8" s="15">
        <f>D8+E8</f>
        <v>-14.95</v>
      </c>
      <c r="H8" s="15">
        <f>AVERAGE(G5:G8)</f>
        <v>-17.8775</v>
      </c>
      <c r="I8" s="15">
        <f>-F8+I7</f>
        <v>-263.16</v>
      </c>
    </row>
    <row r="9" ht="20.05" customHeight="1">
      <c r="A9" s="23"/>
      <c r="B9" s="13">
        <v>4.1</v>
      </c>
      <c r="C9" s="15">
        <v>2.02</v>
      </c>
      <c r="D9" s="15">
        <v>4.03</v>
      </c>
      <c r="E9" s="15">
        <v>-6.27</v>
      </c>
      <c r="F9" s="15">
        <v>37.71</v>
      </c>
      <c r="G9" s="15">
        <f>D9+E9</f>
        <v>-2.24</v>
      </c>
      <c r="H9" s="15">
        <f>AVERAGE(G6:G9)</f>
        <v>-13.4675</v>
      </c>
      <c r="I9" s="15">
        <f>-F9+I8</f>
        <v>-300.87</v>
      </c>
    </row>
    <row r="10" ht="20.05" customHeight="1">
      <c r="A10" s="23"/>
      <c r="B10" s="13">
        <v>-0.5</v>
      </c>
      <c r="C10" s="15">
        <v>4.02</v>
      </c>
      <c r="D10" s="15">
        <v>-28.66</v>
      </c>
      <c r="E10" s="15">
        <v>-9.01</v>
      </c>
      <c r="F10" s="15">
        <v>1.21</v>
      </c>
      <c r="G10" s="15">
        <f>D10+E10</f>
        <v>-37.67</v>
      </c>
      <c r="H10" s="15">
        <f>AVERAGE(G7:G10)</f>
        <v>-18.29</v>
      </c>
      <c r="I10" s="15">
        <f>-F10+I9</f>
        <v>-302.08</v>
      </c>
    </row>
    <row r="11" ht="20.05" customHeight="1">
      <c r="A11" s="26">
        <v>2020</v>
      </c>
      <c r="B11" s="13">
        <v>1.8</v>
      </c>
      <c r="C11" s="15">
        <v>8.9</v>
      </c>
      <c r="D11" s="15">
        <v>-17.2</v>
      </c>
      <c r="E11" s="15">
        <v>-13.4</v>
      </c>
      <c r="F11" s="15">
        <v>0.99</v>
      </c>
      <c r="G11" s="15">
        <f>D11+E11</f>
        <v>-30.6</v>
      </c>
      <c r="H11" s="15">
        <f>AVERAGE(G8:G11)</f>
        <v>-21.365</v>
      </c>
      <c r="I11" s="15">
        <f>-F11+I10</f>
        <v>-303.07</v>
      </c>
    </row>
    <row r="12" ht="20.05" customHeight="1">
      <c r="A12" s="23"/>
      <c r="B12" s="13">
        <v>-10.2</v>
      </c>
      <c r="C12" s="15">
        <v>13.2</v>
      </c>
      <c r="D12" s="15">
        <v>-26.8</v>
      </c>
      <c r="E12" s="15">
        <v>-14.6</v>
      </c>
      <c r="F12" s="15">
        <v>18.01</v>
      </c>
      <c r="G12" s="15">
        <f>D12+E12</f>
        <v>-41.4</v>
      </c>
      <c r="H12" s="15">
        <f>AVERAGE(G9:G12)</f>
        <v>-27.9775</v>
      </c>
      <c r="I12" s="15">
        <f>-F12+I11</f>
        <v>-321.08</v>
      </c>
    </row>
    <row r="13" ht="20.05" customHeight="1">
      <c r="A13" s="23"/>
      <c r="B13" s="13">
        <v>-19.6</v>
      </c>
      <c r="C13" s="15">
        <v>10.9</v>
      </c>
      <c r="D13" s="15">
        <v>1</v>
      </c>
      <c r="E13" s="15">
        <v>-12</v>
      </c>
      <c r="F13" s="15">
        <v>2</v>
      </c>
      <c r="G13" s="15">
        <f>D13+E13</f>
        <v>-11</v>
      </c>
      <c r="H13" s="15">
        <f>AVERAGE(G10:G13)</f>
        <v>-30.1675</v>
      </c>
      <c r="I13" s="15">
        <f>-F13+I12</f>
        <v>-323.08</v>
      </c>
    </row>
    <row r="14" ht="20.05" customHeight="1">
      <c r="A14" s="23"/>
      <c r="B14" s="13">
        <v>-25</v>
      </c>
      <c r="C14" s="15">
        <v>12</v>
      </c>
      <c r="D14" s="15">
        <v>3</v>
      </c>
      <c r="E14" s="15">
        <v>-35</v>
      </c>
      <c r="F14" s="15">
        <v>-22.8</v>
      </c>
      <c r="G14" s="15">
        <f>D14+E14</f>
        <v>-32</v>
      </c>
      <c r="H14" s="15">
        <f>AVERAGE(G11:G14)</f>
        <v>-28.75</v>
      </c>
      <c r="I14" s="15">
        <f>-F14+I13</f>
        <v>-300.28</v>
      </c>
    </row>
    <row r="15" ht="20.05" customHeight="1">
      <c r="A15" s="26">
        <v>2021</v>
      </c>
      <c r="B15" s="13">
        <v>-27.3</v>
      </c>
      <c r="C15" s="15">
        <f>4.3+0.7+7.4+0.4+1.4</f>
        <v>14.2</v>
      </c>
      <c r="D15" s="15">
        <v>-30.7</v>
      </c>
      <c r="E15" s="15">
        <v>-23.4</v>
      </c>
      <c r="F15" s="15">
        <v>1020</v>
      </c>
      <c r="G15" s="15">
        <f>D15+E15</f>
        <v>-54.1</v>
      </c>
      <c r="H15" s="15">
        <f>AVERAGE(G12:G15)</f>
        <v>-34.625</v>
      </c>
      <c r="I15" s="15">
        <f>-F15+I14</f>
        <v>-1320.28</v>
      </c>
    </row>
    <row r="16" ht="20.05" customHeight="1">
      <c r="A16" s="23"/>
      <c r="B16" s="13">
        <v>-19.7</v>
      </c>
      <c r="C16" s="15">
        <v>14.9</v>
      </c>
      <c r="D16" s="15">
        <v>-89.3</v>
      </c>
      <c r="E16" s="15">
        <v>-28.6</v>
      </c>
      <c r="F16" s="15">
        <v>2</v>
      </c>
      <c r="G16" s="15">
        <f>D16+E16</f>
        <v>-117.9</v>
      </c>
      <c r="H16" s="15">
        <f>AVERAGE(G13:G16)</f>
        <v>-53.75</v>
      </c>
      <c r="I16" s="15">
        <f>-F16+I15</f>
        <v>-1322.28</v>
      </c>
    </row>
    <row r="17" ht="20.05" customHeight="1">
      <c r="A17" s="23"/>
      <c r="B17" s="13">
        <f>-101.734-B16-B15</f>
        <v>-54.734</v>
      </c>
      <c r="C17" s="15">
        <f>43.6-C16-C15</f>
        <v>14.5</v>
      </c>
      <c r="D17" s="15">
        <f>-191.047-D16-D15</f>
        <v>-71.047</v>
      </c>
      <c r="E17" s="15">
        <f>-104.4-E16-E15</f>
        <v>-52.4</v>
      </c>
      <c r="F17" s="15">
        <f>1022-F16-F15</f>
        <v>0</v>
      </c>
      <c r="G17" s="15">
        <f>D17+E17</f>
        <v>-123.447</v>
      </c>
      <c r="H17" s="15">
        <f>AVERAGE(G14:G17)</f>
        <v>-81.86175</v>
      </c>
      <c r="I17" s="15">
        <f>-F17+I16</f>
        <v>-1322.28</v>
      </c>
    </row>
    <row r="18" ht="20.05" customHeight="1">
      <c r="A18" s="23"/>
      <c r="B18" s="13"/>
      <c r="C18" s="15"/>
      <c r="D18" s="15"/>
      <c r="E18" s="15"/>
      <c r="F18" s="15"/>
      <c r="G18" s="15"/>
      <c r="H18" s="15">
        <f>SUM('Model'!F9:F10)</f>
        <v>-1.464703647949</v>
      </c>
      <c r="I18" s="15">
        <f>'Model'!F32</f>
        <v>-1328.379659170470</v>
      </c>
    </row>
  </sheetData>
  <mergeCells count="1">
    <mergeCell ref="A1:I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1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0" width="8.65625" style="31" customWidth="1"/>
    <col min="11" max="16384" width="16.3516" style="31" customWidth="1"/>
  </cols>
  <sheetData>
    <row r="1" ht="27.65" customHeight="1">
      <c r="A1" t="s" s="2">
        <v>45</v>
      </c>
      <c r="B1" s="2"/>
      <c r="C1" s="2"/>
      <c r="D1" s="2"/>
      <c r="E1" s="2"/>
      <c r="F1" s="2"/>
      <c r="G1" s="2"/>
      <c r="H1" s="2"/>
      <c r="I1" s="2"/>
      <c r="J1" s="2"/>
    </row>
    <row r="2" ht="32.25" customHeight="1">
      <c r="A2" t="s" s="4">
        <v>1</v>
      </c>
      <c r="B2" t="s" s="4">
        <v>46</v>
      </c>
      <c r="C2" t="s" s="4">
        <v>47</v>
      </c>
      <c r="D2" t="s" s="4">
        <v>21</v>
      </c>
      <c r="E2" t="s" s="4">
        <v>22</v>
      </c>
      <c r="F2" t="s" s="4">
        <v>11</v>
      </c>
      <c r="G2" t="s" s="4">
        <v>12</v>
      </c>
      <c r="H2" t="s" s="4">
        <v>24</v>
      </c>
      <c r="I2" t="s" s="4">
        <v>48</v>
      </c>
      <c r="J2" t="s" s="4">
        <v>31</v>
      </c>
    </row>
    <row r="3" ht="20.25" customHeight="1">
      <c r="A3" s="20">
        <v>2019</v>
      </c>
      <c r="B3" s="29">
        <v>35</v>
      </c>
      <c r="C3" s="30">
        <v>125</v>
      </c>
      <c r="D3" s="30">
        <f>C3-B3</f>
        <v>90</v>
      </c>
      <c r="E3" s="30">
        <v>6.8</v>
      </c>
      <c r="F3" s="30">
        <v>53</v>
      </c>
      <c r="G3" s="30">
        <v>72</v>
      </c>
      <c r="H3" s="30">
        <f>F3+G3-B3-D3</f>
        <v>0</v>
      </c>
      <c r="I3" s="30">
        <f>B3-F3</f>
        <v>-18</v>
      </c>
      <c r="J3" s="30"/>
    </row>
    <row r="4" ht="20.05" customHeight="1">
      <c r="A4" s="23"/>
      <c r="B4" s="13">
        <v>277</v>
      </c>
      <c r="C4" s="15">
        <v>397</v>
      </c>
      <c r="D4" s="15">
        <f>C4-B4</f>
        <v>120</v>
      </c>
      <c r="E4" s="15">
        <v>8.859999999999999</v>
      </c>
      <c r="F4" s="15">
        <v>65</v>
      </c>
      <c r="G4" s="15">
        <v>332</v>
      </c>
      <c r="H4" s="15">
        <f>F4+G4-B4-D4</f>
        <v>0</v>
      </c>
      <c r="I4" s="15">
        <f>B4-F4</f>
        <v>212</v>
      </c>
      <c r="J4" s="15"/>
    </row>
    <row r="5" ht="20.05" customHeight="1">
      <c r="A5" s="23"/>
      <c r="B5" s="13">
        <v>312</v>
      </c>
      <c r="C5" s="15">
        <v>455</v>
      </c>
      <c r="D5" s="15">
        <f>C5-B5</f>
        <v>143</v>
      </c>
      <c r="E5" s="15">
        <v>10.88</v>
      </c>
      <c r="F5" s="15">
        <v>78</v>
      </c>
      <c r="G5" s="15">
        <v>377</v>
      </c>
      <c r="H5" s="15">
        <f>F5+G5-B5-D5</f>
        <v>0</v>
      </c>
      <c r="I5" s="15">
        <f>B5-F5</f>
        <v>234</v>
      </c>
      <c r="J5" s="15"/>
    </row>
    <row r="6" ht="20.05" customHeight="1">
      <c r="A6" s="23"/>
      <c r="B6" s="13">
        <v>276</v>
      </c>
      <c r="C6" s="15">
        <v>452</v>
      </c>
      <c r="D6" s="15">
        <f>C6-B6</f>
        <v>176</v>
      </c>
      <c r="E6" s="15">
        <v>14.9</v>
      </c>
      <c r="F6" s="15">
        <v>68</v>
      </c>
      <c r="G6" s="15">
        <v>384</v>
      </c>
      <c r="H6" s="15">
        <f>F6+G6-B6-D6</f>
        <v>0</v>
      </c>
      <c r="I6" s="15">
        <f>B6-F6</f>
        <v>208</v>
      </c>
      <c r="J6" s="15"/>
    </row>
    <row r="7" ht="20.05" customHeight="1">
      <c r="A7" s="26">
        <v>2020</v>
      </c>
      <c r="B7" s="13">
        <v>246</v>
      </c>
      <c r="C7" s="15">
        <v>492</v>
      </c>
      <c r="D7" s="15">
        <f>C7-B7</f>
        <v>246</v>
      </c>
      <c r="E7" s="15">
        <v>17.5</v>
      </c>
      <c r="F7" s="15">
        <v>100</v>
      </c>
      <c r="G7" s="15">
        <v>392</v>
      </c>
      <c r="H7" s="15">
        <f>F7+G7-B7-D7</f>
        <v>0</v>
      </c>
      <c r="I7" s="15">
        <f>B7-F7</f>
        <v>146</v>
      </c>
      <c r="J7" s="15"/>
    </row>
    <row r="8" ht="20.05" customHeight="1">
      <c r="A8" s="23"/>
      <c r="B8" s="13">
        <v>222</v>
      </c>
      <c r="C8" s="15">
        <v>518</v>
      </c>
      <c r="D8" s="15">
        <f>C8-B8</f>
        <v>296</v>
      </c>
      <c r="E8" s="15">
        <v>20.8</v>
      </c>
      <c r="F8" s="15">
        <v>128</v>
      </c>
      <c r="G8" s="15">
        <v>390</v>
      </c>
      <c r="H8" s="15">
        <f>F8+G8-B8-D8</f>
        <v>0</v>
      </c>
      <c r="I8" s="15">
        <f>B8-F8</f>
        <v>94</v>
      </c>
      <c r="J8" s="15"/>
    </row>
    <row r="9" ht="20.05" customHeight="1">
      <c r="A9" s="23"/>
      <c r="B9" s="13">
        <v>215</v>
      </c>
      <c r="C9" s="15">
        <v>487</v>
      </c>
      <c r="D9" s="15">
        <f>C9-B9</f>
        <v>272</v>
      </c>
      <c r="E9" s="15">
        <v>23.9</v>
      </c>
      <c r="F9" s="15">
        <v>108</v>
      </c>
      <c r="G9" s="15">
        <v>379</v>
      </c>
      <c r="H9" s="15">
        <f>F9+G9-B9-D9</f>
        <v>0</v>
      </c>
      <c r="I9" s="15">
        <f>B9-F9</f>
        <v>107</v>
      </c>
      <c r="J9" s="15"/>
    </row>
    <row r="10" ht="20.05" customHeight="1">
      <c r="A10" s="23"/>
      <c r="B10" s="13">
        <v>159</v>
      </c>
      <c r="C10" s="15">
        <v>468</v>
      </c>
      <c r="D10" s="15">
        <f>C10-B10</f>
        <v>309</v>
      </c>
      <c r="E10" s="15">
        <f>E9+'Cashflow '!C14</f>
        <v>35.9</v>
      </c>
      <c r="F10" s="15">
        <v>101</v>
      </c>
      <c r="G10" s="15">
        <v>367</v>
      </c>
      <c r="H10" s="15">
        <f>F10+G10-B10-D10</f>
        <v>0</v>
      </c>
      <c r="I10" s="15">
        <f>B10-F10</f>
        <v>58</v>
      </c>
      <c r="J10" s="17"/>
    </row>
    <row r="11" ht="20.05" customHeight="1">
      <c r="A11" s="26">
        <v>2021</v>
      </c>
      <c r="B11" s="13">
        <v>1125</v>
      </c>
      <c r="C11" s="15">
        <v>1476</v>
      </c>
      <c r="D11" s="15">
        <f>C11-B11</f>
        <v>351</v>
      </c>
      <c r="E11" s="15">
        <f>E10+'Cashflow '!C15</f>
        <v>50.1</v>
      </c>
      <c r="F11" s="15">
        <f>73+1138</f>
        <v>1211</v>
      </c>
      <c r="G11" s="15">
        <v>264</v>
      </c>
      <c r="H11" s="15">
        <f>F11+G11-B11-D11</f>
        <v>-1</v>
      </c>
      <c r="I11" s="15">
        <f>B11-F11</f>
        <v>-86</v>
      </c>
      <c r="J11" s="15"/>
    </row>
    <row r="12" ht="20.05" customHeight="1">
      <c r="A12" s="23"/>
      <c r="B12" s="13">
        <v>1009</v>
      </c>
      <c r="C12" s="15">
        <v>1467</v>
      </c>
      <c r="D12" s="15">
        <f>C12-B12</f>
        <v>458</v>
      </c>
      <c r="E12" s="15">
        <f>E11+'Cashflow '!C16</f>
        <v>65</v>
      </c>
      <c r="F12" s="15">
        <f>1140+72</f>
        <v>1212</v>
      </c>
      <c r="G12" s="15">
        <v>255</v>
      </c>
      <c r="H12" s="15">
        <f>F12+G12-B12-D12</f>
        <v>0</v>
      </c>
      <c r="I12" s="15">
        <f>B12-F12</f>
        <v>-203</v>
      </c>
      <c r="J12" s="15"/>
    </row>
    <row r="13" ht="20.05" customHeight="1">
      <c r="A13" s="23"/>
      <c r="B13" s="13">
        <v>886.442</v>
      </c>
      <c r="C13" s="15">
        <v>1432.4</v>
      </c>
      <c r="D13" s="15">
        <f>C13-B13</f>
        <v>545.958</v>
      </c>
      <c r="E13" s="15">
        <f>E12+'Cashflow '!C17</f>
        <v>79.5</v>
      </c>
      <c r="F13" s="15">
        <f>1151+74</f>
        <v>1225</v>
      </c>
      <c r="G13" s="15">
        <v>207.105</v>
      </c>
      <c r="H13" s="15">
        <f>F13+G13-B13-D13</f>
        <v>-0.295</v>
      </c>
      <c r="I13" s="15">
        <f>B13-F13</f>
        <v>-338.558</v>
      </c>
      <c r="J13" s="15">
        <f>I13</f>
        <v>-338.558</v>
      </c>
    </row>
    <row r="14" ht="20.05" customHeight="1">
      <c r="A14" s="23"/>
      <c r="B14" s="13"/>
      <c r="C14" s="15"/>
      <c r="D14" s="15"/>
      <c r="E14" s="15"/>
      <c r="F14" s="15"/>
      <c r="G14" s="15"/>
      <c r="H14" s="15"/>
      <c r="I14" s="15"/>
      <c r="J14" s="15">
        <f>'Model'!F30</f>
        <v>-344.657659170463</v>
      </c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C15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3" width="10.3125" style="32" customWidth="1"/>
    <col min="4" max="16384" width="16.3516" style="32" customWidth="1"/>
  </cols>
  <sheetData>
    <row r="1" ht="27.65" customHeight="1">
      <c r="A1" t="s" s="2">
        <v>49</v>
      </c>
      <c r="B1" s="2"/>
      <c r="C1" s="2"/>
    </row>
    <row r="2" ht="20.25" customHeight="1">
      <c r="A2" s="33"/>
      <c r="B2" t="s" s="33">
        <v>50</v>
      </c>
      <c r="C2" t="s" s="33">
        <v>51</v>
      </c>
    </row>
    <row r="3" ht="20.25" customHeight="1">
      <c r="A3" s="20">
        <v>2019</v>
      </c>
      <c r="B3" s="34"/>
      <c r="C3" s="35"/>
    </row>
    <row r="4" ht="20.05" customHeight="1">
      <c r="A4" s="23"/>
      <c r="B4" s="36">
        <v>160.679993</v>
      </c>
      <c r="C4" s="37"/>
    </row>
    <row r="5" ht="20.05" customHeight="1">
      <c r="A5" s="23"/>
      <c r="B5" s="36">
        <v>148.619995</v>
      </c>
      <c r="C5" s="37"/>
    </row>
    <row r="6" ht="20.05" customHeight="1">
      <c r="A6" s="23"/>
      <c r="B6" s="36">
        <v>75.599998</v>
      </c>
      <c r="C6" s="37"/>
    </row>
    <row r="7" ht="20.05" customHeight="1">
      <c r="A7" s="26">
        <v>2020</v>
      </c>
      <c r="B7" s="36">
        <v>66.599998</v>
      </c>
      <c r="C7" s="25"/>
    </row>
    <row r="8" ht="20.05" customHeight="1">
      <c r="A8" s="23"/>
      <c r="B8" s="36">
        <v>133.979996</v>
      </c>
      <c r="C8" s="25"/>
    </row>
    <row r="9" ht="20.05" customHeight="1">
      <c r="A9" s="23"/>
      <c r="B9" s="13">
        <v>166.059998</v>
      </c>
      <c r="C9" s="25"/>
    </row>
    <row r="10" ht="20.05" customHeight="1">
      <c r="A10" s="23"/>
      <c r="B10" s="13">
        <v>125</v>
      </c>
      <c r="C10" s="25"/>
    </row>
    <row r="11" ht="20.05" customHeight="1">
      <c r="A11" s="26">
        <v>2021</v>
      </c>
      <c r="B11" s="13">
        <v>130.119995</v>
      </c>
      <c r="C11" s="25"/>
    </row>
    <row r="12" ht="20.05" customHeight="1">
      <c r="A12" s="23"/>
      <c r="B12" s="13">
        <v>152.99</v>
      </c>
      <c r="C12" s="25"/>
    </row>
    <row r="13" ht="20.05" customHeight="1">
      <c r="A13" s="23"/>
      <c r="B13" s="13">
        <v>105.09</v>
      </c>
      <c r="C13" s="25"/>
    </row>
    <row r="14" ht="20.05" customHeight="1">
      <c r="A14" s="23"/>
      <c r="B14" s="13">
        <v>64.51000000000001</v>
      </c>
      <c r="C14" s="17">
        <f>B14</f>
        <v>64.51000000000001</v>
      </c>
    </row>
    <row r="15" ht="20.05" customHeight="1">
      <c r="A15" s="23"/>
      <c r="B15" s="13"/>
      <c r="C15" s="17">
        <f>'Model'!F41</f>
        <v>24.9636452726772</v>
      </c>
    </row>
  </sheetData>
  <mergeCells count="1">
    <mergeCell ref="A1:C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