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<sst xmlns="http://schemas.openxmlformats.org/spreadsheetml/2006/main" uniqueCount="54">
  <si>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</si>
  <si>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</si>
  <si>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</si>
  <si>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</si>
  <si>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</si>
  <si>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</si>
  <si>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</si>
  <si>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</si>
  <si>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</si>
  <si>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</si>
  <si>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</si>
  <si>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</si>
  <si>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</si>
  <si>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>Before revolver</t>
  </si>
  <si>
    <t>Revolver</t>
  </si>
  <si>
    <t>Beginning</t>
  </si>
  <si>
    <t xml:space="preserve">Change </t>
  </si>
  <si>
    <t>Ending</t>
  </si>
  <si>
    <t>Profit</t>
  </si>
  <si>
    <t xml:space="preserve">Non cash costs </t>
  </si>
  <si>
    <t>Balance sheet</t>
  </si>
  <si>
    <t>Other assets</t>
  </si>
  <si>
    <t xml:space="preserve">Depreciation </t>
  </si>
  <si>
    <t>Net other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</si>
  <si>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</si>
  <si>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</si>
  <si>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</si>
  <si>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</si>
  <si>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</si>
  <si>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</si>
  <si>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</si>
  <si>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Payback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</si>
  <si>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</si>
  <si>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</si>
  <si>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</si>
  <si>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</si>
  <si>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</si>
  <si>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</si>
  <si>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</si>
  <si>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</si>
  <si>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Biological </t>
  </si>
  <si>
    <t>EBITDA</t>
  </si>
  <si>
    <t>Net profit</t>
  </si>
  <si>
    <t xml:space="preserve">Sales growth </t>
  </si>
  <si>
    <t>Cashflow costs</t>
  </si>
  <si>
    <t>Cash flow quarterly</t>
  </si>
  <si>
    <t xml:space="preserve">Receipts </t>
  </si>
  <si>
    <t xml:space="preserve">Free cashflow </t>
  </si>
  <si>
    <t>Cash</t>
  </si>
  <si>
    <t xml:space="preserve">Assets </t>
  </si>
  <si>
    <t xml:space="preserve">Equity </t>
  </si>
  <si>
    <t>Net debt</t>
  </si>
  <si>
    <t>Share price monthly</t>
  </si>
  <si>
    <t>BWPT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</si>
</sst>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793200</xdr:colOff>
      <xdr:row>1</xdr:row>
      <xdr:rowOff>281135</xdr:rowOff>
    </xdr:from>
    <xdr:to>
      <xdr:col>12</xdr:col>
      <xdr:colOff>1202927</xdr:colOff>
      <xdr:row>44</xdr:row>
      <xdr:rowOff>243764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60400" y="493225"/>
          <a:ext cx="7877327" cy="110135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5781" style="1" customWidth="1"/>
    <col min="2" max="2" width="14.9375" style="1" customWidth="1"/>
    <col min="3" max="6" width="8.61719" style="1" customWidth="1"/>
    <col min="7" max="16384" width="16.3516" style="1" customWidth="1"/>
  </cols>
  <sheetData>
    <row r="1" ht="16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AVERAGE('Sales'!I27:I30)</f>
        <v>0.205366489257622</v>
      </c>
      <c r="D4" s="8"/>
      <c r="E4" s="8"/>
      <c r="F4" s="9">
        <f>AVERAGE(C5:F5)</f>
        <v>0.065</v>
      </c>
    </row>
    <row r="5" ht="20.05" customHeight="1">
      <c r="B5" t="s" s="10">
        <v>4</v>
      </c>
      <c r="C5" s="11">
        <v>0.15</v>
      </c>
      <c r="D5" s="12">
        <v>-0.03</v>
      </c>
      <c r="E5" s="12">
        <v>0.07000000000000001</v>
      </c>
      <c r="F5" s="12">
        <v>0.07000000000000001</v>
      </c>
    </row>
    <row r="6" ht="20.05" customHeight="1">
      <c r="B6" t="s" s="10">
        <v>5</v>
      </c>
      <c r="C6" s="13">
        <f>'Sales'!C30*(1+C5)</f>
        <v>896.08</v>
      </c>
      <c r="D6" s="14">
        <f>C6*(1+D5)</f>
        <v>869.1976</v>
      </c>
      <c r="E6" s="14">
        <f>D6*(1+E5)</f>
        <v>930.041432</v>
      </c>
      <c r="F6" s="14">
        <f>E6*(1+F5)</f>
        <v>995.14433224</v>
      </c>
    </row>
    <row r="7" ht="20.05" customHeight="1">
      <c r="B7" t="s" s="10">
        <v>6</v>
      </c>
      <c r="C7" s="11">
        <f>AVERAGE('Sales'!K27:K30)</f>
        <v>-0.87679566479115</v>
      </c>
      <c r="D7" s="12">
        <f>C7</f>
        <v>-0.87679566479115</v>
      </c>
      <c r="E7" s="12">
        <f>D7</f>
        <v>-0.87679566479115</v>
      </c>
      <c r="F7" s="12">
        <f>E7</f>
        <v>-0.87679566479115</v>
      </c>
    </row>
    <row r="8" ht="20.05" customHeight="1">
      <c r="B8" t="s" s="10">
        <v>7</v>
      </c>
      <c r="C8" s="15">
        <f>C6*C7</f>
        <v>-785.679059306054</v>
      </c>
      <c r="D8" s="16">
        <f>D6*D7</f>
        <v>-762.108687526872</v>
      </c>
      <c r="E8" s="16">
        <f>E6*E7</f>
        <v>-815.456295653753</v>
      </c>
      <c r="F8" s="16">
        <f>F6*F7</f>
        <v>-872.538236349516</v>
      </c>
    </row>
    <row r="9" ht="20.05" customHeight="1">
      <c r="B9" t="s" s="10">
        <v>8</v>
      </c>
      <c r="C9" s="17">
        <f>C6+C8</f>
        <v>110.400940693946</v>
      </c>
      <c r="D9" s="18">
        <f>D6+D8</f>
        <v>107.088912473128</v>
      </c>
      <c r="E9" s="18">
        <f>E6+E8</f>
        <v>114.585136346247</v>
      </c>
      <c r="F9" s="18">
        <f>F6+F8</f>
        <v>122.606095890484</v>
      </c>
    </row>
    <row r="10" ht="20.05" customHeight="1">
      <c r="B10" t="s" s="10">
        <v>9</v>
      </c>
      <c r="C10" s="15">
        <f>AVERAGE('Cashflow'!E29:E30)</f>
        <v>-36.9</v>
      </c>
      <c r="D10" s="16">
        <f>C10</f>
        <v>-36.9</v>
      </c>
      <c r="E10" s="16">
        <f>D10</f>
        <v>-36.9</v>
      </c>
      <c r="F10" s="16">
        <f>E10</f>
        <v>-36.9</v>
      </c>
    </row>
    <row r="11" ht="20.05" customHeight="1">
      <c r="B11" t="s" s="10">
        <v>10</v>
      </c>
      <c r="C11" s="15">
        <f>C12+C13+C15</f>
        <v>-73.50094069394601</v>
      </c>
      <c r="D11" s="16">
        <f>D12+D13+D15</f>
        <v>-70.188912473128</v>
      </c>
      <c r="E11" s="16">
        <f>E12+E13+E15</f>
        <v>-77.68513634624701</v>
      </c>
      <c r="F11" s="16">
        <f>F12+F13+F15</f>
        <v>-85.70609589048399</v>
      </c>
    </row>
    <row r="12" ht="20.05" customHeight="1">
      <c r="B12" t="s" s="10">
        <v>11</v>
      </c>
      <c r="C12" s="15">
        <f>-'Balance sheet'!G30/20</f>
        <v>-529.875</v>
      </c>
      <c r="D12" s="16">
        <f>-C26/20</f>
        <v>-503.38125</v>
      </c>
      <c r="E12" s="16">
        <f>-D26/20</f>
        <v>-478.2121875</v>
      </c>
      <c r="F12" s="16">
        <f>-E26/20</f>
        <v>-454.301578125</v>
      </c>
    </row>
    <row r="13" ht="20.05" customHeight="1">
      <c r="B13" t="s" s="10">
        <v>12</v>
      </c>
      <c r="C13" s="19">
        <f>IF(C21&gt;0,-C21*0.1,0)</f>
        <v>0</v>
      </c>
      <c r="D13" s="18">
        <f>IF(D21&gt;0,-D21*0.1,0)</f>
        <v>0</v>
      </c>
      <c r="E13" s="18">
        <f>IF(E21&gt;0,-E21*0.1,0)</f>
        <v>0</v>
      </c>
      <c r="F13" s="18">
        <f>IF(F21&gt;0,-F21*0.1,0)</f>
        <v>0</v>
      </c>
    </row>
    <row r="14" ht="20.05" customHeight="1">
      <c r="B14" t="s" s="10">
        <v>13</v>
      </c>
      <c r="C14" s="15">
        <f>C9+C10+C12+C13</f>
        <v>-456.374059306054</v>
      </c>
      <c r="D14" s="16">
        <f>D9+D10+D12+D13</f>
        <v>-433.192337526872</v>
      </c>
      <c r="E14" s="16">
        <f>E9+E10+E12+E13</f>
        <v>-400.527051153753</v>
      </c>
      <c r="F14" s="16">
        <f>F9+F10+F12+F13</f>
        <v>-368.595482234516</v>
      </c>
    </row>
    <row r="15" ht="20.05" customHeight="1">
      <c r="B15" t="s" s="10">
        <v>14</v>
      </c>
      <c r="C15" s="15">
        <f>-MIN(0,C14)</f>
        <v>456.374059306054</v>
      </c>
      <c r="D15" s="16">
        <f>-MIN(C27,D14)</f>
        <v>433.192337526872</v>
      </c>
      <c r="E15" s="16">
        <f>-MIN(D27,E14)</f>
        <v>400.527051153753</v>
      </c>
      <c r="F15" s="16">
        <f>-MIN(E27,F14)</f>
        <v>368.595482234516</v>
      </c>
    </row>
    <row r="16" ht="20.05" customHeight="1">
      <c r="B16" t="s" s="10">
        <v>15</v>
      </c>
      <c r="C16" s="15">
        <f>'Balance sheet'!C30</f>
        <v>98.2</v>
      </c>
      <c r="D16" s="16">
        <f>C18</f>
        <v>98.2</v>
      </c>
      <c r="E16" s="16">
        <f>D18</f>
        <v>98.2</v>
      </c>
      <c r="F16" s="16">
        <f>E18</f>
        <v>98.2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98.2</v>
      </c>
      <c r="D18" s="16">
        <f>D16+D17</f>
        <v>98.2</v>
      </c>
      <c r="E18" s="16">
        <f>E16+E17</f>
        <v>98.2</v>
      </c>
      <c r="F18" s="16">
        <f>F16+F17</f>
        <v>98.2</v>
      </c>
    </row>
    <row r="19" ht="20.05" customHeight="1">
      <c r="B19" t="s" s="20">
        <v>18</v>
      </c>
      <c r="C19" s="19"/>
      <c r="D19" s="21"/>
      <c r="E19" s="21"/>
      <c r="F19" s="16"/>
    </row>
    <row r="20" ht="20.05" customHeight="1">
      <c r="B20" t="s" s="10">
        <v>19</v>
      </c>
      <c r="C20" s="15">
        <f>-AVERAGE('Sales'!F30)</f>
        <v>-126</v>
      </c>
      <c r="D20" s="16">
        <f>C20</f>
        <v>-126</v>
      </c>
      <c r="E20" s="16">
        <f>D20</f>
        <v>-126</v>
      </c>
      <c r="F20" s="16">
        <f>E20</f>
        <v>-126</v>
      </c>
    </row>
    <row r="21" ht="20.05" customHeight="1">
      <c r="B21" t="s" s="10">
        <v>18</v>
      </c>
      <c r="C21" s="17">
        <f>C6+C8+C20</f>
        <v>-15.599059306054</v>
      </c>
      <c r="D21" s="18">
        <f>D6+D8+D20</f>
        <v>-18.911087526872</v>
      </c>
      <c r="E21" s="18">
        <f>E6+E8+E20</f>
        <v>-11.414863653753</v>
      </c>
      <c r="F21" s="18">
        <f>F6+F8+F20</f>
        <v>-3.393904109516</v>
      </c>
    </row>
    <row r="22" ht="20.05" customHeight="1">
      <c r="B22" t="s" s="20">
        <v>20</v>
      </c>
      <c r="C22" s="19"/>
      <c r="D22" s="21"/>
      <c r="E22" s="21"/>
      <c r="F22" s="21"/>
    </row>
    <row r="23" ht="20.05" customHeight="1">
      <c r="B23" t="s" s="10">
        <v>21</v>
      </c>
      <c r="C23" s="15">
        <f>'Balance sheet'!E30+'Balance sheet'!F30-C10</f>
        <v>16488.5</v>
      </c>
      <c r="D23" s="16">
        <f>C23-D10</f>
        <v>16525.4</v>
      </c>
      <c r="E23" s="16">
        <f>D23-E10</f>
        <v>16562.3</v>
      </c>
      <c r="F23" s="16">
        <f>E23-F10</f>
        <v>16599.2</v>
      </c>
    </row>
    <row r="24" ht="20.05" customHeight="1">
      <c r="B24" t="s" s="10">
        <v>22</v>
      </c>
      <c r="C24" s="15">
        <f>'Balance sheet'!F30-C20</f>
        <v>4344</v>
      </c>
      <c r="D24" s="16">
        <f>C24-D20</f>
        <v>4470</v>
      </c>
      <c r="E24" s="16">
        <f>D24-E20</f>
        <v>4596</v>
      </c>
      <c r="F24" s="16">
        <f>E24-F20</f>
        <v>4722</v>
      </c>
    </row>
    <row r="25" ht="20.05" customHeight="1">
      <c r="B25" t="s" s="10">
        <v>23</v>
      </c>
      <c r="C25" s="15">
        <f>C23-C24</f>
        <v>12144.5</v>
      </c>
      <c r="D25" s="16">
        <f>D23-D24</f>
        <v>12055.4</v>
      </c>
      <c r="E25" s="16">
        <f>E23-E24</f>
        <v>11966.3</v>
      </c>
      <c r="F25" s="16">
        <f>F23-F24</f>
        <v>11877.2</v>
      </c>
    </row>
    <row r="26" ht="20.05" customHeight="1">
      <c r="B26" t="s" s="10">
        <v>11</v>
      </c>
      <c r="C26" s="15">
        <f>'Balance sheet'!G30+C12</f>
        <v>10067.625</v>
      </c>
      <c r="D26" s="16">
        <f>C26+D12</f>
        <v>9564.24375</v>
      </c>
      <c r="E26" s="16">
        <f>D26+E12</f>
        <v>9086.0315625</v>
      </c>
      <c r="F26" s="16">
        <f>E26+F12</f>
        <v>8631.729984375001</v>
      </c>
    </row>
    <row r="27" ht="20.05" customHeight="1">
      <c r="B27" t="s" s="10">
        <v>14</v>
      </c>
      <c r="C27" s="15">
        <f>C15</f>
        <v>456.374059306054</v>
      </c>
      <c r="D27" s="16">
        <f>C27+D15</f>
        <v>889.566396832926</v>
      </c>
      <c r="E27" s="16">
        <f>D27+E15</f>
        <v>1290.093447986680</v>
      </c>
      <c r="F27" s="16">
        <f>E27+F15</f>
        <v>1658.6889302212</v>
      </c>
    </row>
    <row r="28" ht="20.05" customHeight="1">
      <c r="B28" t="s" s="10">
        <v>12</v>
      </c>
      <c r="C28" s="15">
        <f>'Balance sheet'!H30+C21+C13</f>
        <v>1718.600940693950</v>
      </c>
      <c r="D28" s="16">
        <f>C28+D21+D13</f>
        <v>1699.689853167080</v>
      </c>
      <c r="E28" s="16">
        <f>D28+E21+E13</f>
        <v>1688.274989513330</v>
      </c>
      <c r="F28" s="16">
        <f>E28+F21+F13</f>
        <v>1684.881085403810</v>
      </c>
    </row>
    <row r="29" ht="20.05" customHeight="1">
      <c r="B29" t="s" s="10">
        <v>24</v>
      </c>
      <c r="C29" s="15">
        <f>C26+C27+C28-C18-C25</f>
        <v>-0.099999999996</v>
      </c>
      <c r="D29" s="16">
        <f>D26+D27+D28-D18-D25</f>
        <v>-0.099999999994</v>
      </c>
      <c r="E29" s="16">
        <f>E26+E27+E28-E18-E25</f>
        <v>-0.099999999990</v>
      </c>
      <c r="F29" s="16">
        <f>F26+F27+F28-F18-F25</f>
        <v>-0.099999999990</v>
      </c>
    </row>
    <row r="30" ht="20.05" customHeight="1">
      <c r="B30" t="s" s="10">
        <v>25</v>
      </c>
      <c r="C30" s="15">
        <f>C18-C26-C27</f>
        <v>-10425.7990593061</v>
      </c>
      <c r="D30" s="16">
        <f>D18-D26-D27</f>
        <v>-10355.6101468329</v>
      </c>
      <c r="E30" s="16">
        <f>E18-E26-E27</f>
        <v>-10277.9250104867</v>
      </c>
      <c r="F30" s="16">
        <f>F18-F26-F27</f>
        <v>-10192.2189145962</v>
      </c>
    </row>
    <row r="31" ht="20.05" customHeight="1">
      <c r="B31" t="s" s="20">
        <v>26</v>
      </c>
      <c r="C31" s="15"/>
      <c r="D31" s="16"/>
      <c r="E31" s="16"/>
      <c r="F31" s="16"/>
    </row>
    <row r="32" ht="20.05" customHeight="1">
      <c r="B32" t="s" s="10">
        <v>27</v>
      </c>
      <c r="C32" s="15">
        <f>'Cashflow'!I30-C11</f>
        <v>-1270.999059306050</v>
      </c>
      <c r="D32" s="16">
        <f>C32-D11</f>
        <v>-1200.810146832920</v>
      </c>
      <c r="E32" s="16">
        <f>D32-E11</f>
        <v>-1123.125010486670</v>
      </c>
      <c r="F32" s="16">
        <f>E32-F11</f>
        <v>-1037.418914596190</v>
      </c>
    </row>
    <row r="33" ht="20.05" customHeight="1">
      <c r="B33" t="s" s="10">
        <v>28</v>
      </c>
      <c r="C33" s="15"/>
      <c r="D33" s="16"/>
      <c r="E33" s="16"/>
      <c r="F33" s="16">
        <v>2837</v>
      </c>
    </row>
    <row r="34" ht="20.05" customHeight="1">
      <c r="B34" t="s" s="10">
        <v>29</v>
      </c>
      <c r="C34" s="15"/>
      <c r="D34" s="16"/>
      <c r="E34" s="16"/>
      <c r="F34" s="22">
        <f>F33/(F18+F25)</f>
        <v>0.236902316415318</v>
      </c>
    </row>
    <row r="35" ht="20.05" customHeight="1">
      <c r="B35" t="s" s="10">
        <v>30</v>
      </c>
      <c r="C35" s="15"/>
      <c r="D35" s="16"/>
      <c r="E35" s="16"/>
      <c r="F35" s="23">
        <f>-(C13+D13+E13+F13)/F33</f>
        <v>0</v>
      </c>
    </row>
    <row r="36" ht="20.05" customHeight="1">
      <c r="B36" t="s" s="10">
        <v>3</v>
      </c>
      <c r="C36" s="15"/>
      <c r="D36" s="16"/>
      <c r="E36" s="16"/>
      <c r="F36" s="16">
        <f>SUM(C9:F10)</f>
        <v>307.081085403805</v>
      </c>
    </row>
    <row r="37" ht="20.05" customHeight="1">
      <c r="B37" t="s" s="10">
        <v>31</v>
      </c>
      <c r="C37" s="15"/>
      <c r="D37" s="16"/>
      <c r="E37" s="16"/>
      <c r="F37" s="16">
        <f>'Balance sheet'!E30/F36</f>
        <v>39.8383377599212</v>
      </c>
    </row>
    <row r="38" ht="20.05" customHeight="1">
      <c r="B38" t="s" s="10">
        <v>26</v>
      </c>
      <c r="C38" s="15"/>
      <c r="D38" s="16"/>
      <c r="E38" s="16"/>
      <c r="F38" s="16">
        <f>F33/F36</f>
        <v>9.238602228689549</v>
      </c>
    </row>
    <row r="39" ht="20.05" customHeight="1">
      <c r="B39" t="s" s="10">
        <v>32</v>
      </c>
      <c r="C39" s="15"/>
      <c r="D39" s="16"/>
      <c r="E39" s="16"/>
      <c r="F39" s="16">
        <v>18</v>
      </c>
    </row>
    <row r="40" ht="20.05" customHeight="1">
      <c r="B40" t="s" s="10">
        <v>33</v>
      </c>
      <c r="C40" s="15"/>
      <c r="D40" s="16"/>
      <c r="E40" s="16"/>
      <c r="F40" s="16">
        <f>F36*F39</f>
        <v>5527.459537268490</v>
      </c>
    </row>
    <row r="41" ht="20.05" customHeight="1">
      <c r="B41" t="s" s="10">
        <v>34</v>
      </c>
      <c r="C41" s="15"/>
      <c r="D41" s="16"/>
      <c r="E41" s="16"/>
      <c r="F41" s="16">
        <f>F33/F43</f>
        <v>31.5222222222222</v>
      </c>
    </row>
    <row r="42" ht="20.05" customHeight="1">
      <c r="B42" t="s" s="10">
        <v>35</v>
      </c>
      <c r="C42" s="15"/>
      <c r="D42" s="16"/>
      <c r="E42" s="16"/>
      <c r="F42" s="16">
        <f>F40/F41</f>
        <v>175.351201393784</v>
      </c>
    </row>
    <row r="43" ht="20.05" customHeight="1">
      <c r="B43" t="s" s="10">
        <v>36</v>
      </c>
      <c r="C43" s="15"/>
      <c r="D43" s="16"/>
      <c r="E43" s="16"/>
      <c r="F43" s="16">
        <f>'Share price '!C98</f>
        <v>90</v>
      </c>
    </row>
    <row r="44" ht="20.05" customHeight="1">
      <c r="B44" t="s" s="10">
        <v>37</v>
      </c>
      <c r="C44" s="15"/>
      <c r="D44" s="16"/>
      <c r="E44" s="16"/>
      <c r="F44" s="23">
        <f>F42/F43-1</f>
        <v>0.948346682153156</v>
      </c>
    </row>
    <row r="45" ht="20.05" customHeight="1">
      <c r="B45" t="s" s="10">
        <v>38</v>
      </c>
      <c r="C45" s="15"/>
      <c r="D45" s="16"/>
      <c r="E45" s="16"/>
      <c r="F45" s="23">
        <f>'Sales'!C30/'Sales'!C26-1</f>
        <v>0.982697201017812</v>
      </c>
    </row>
    <row r="46" ht="20.05" customHeight="1">
      <c r="B46" t="s" s="10">
        <v>39</v>
      </c>
      <c r="C46" s="15"/>
      <c r="D46" s="16"/>
      <c r="E46" s="16"/>
      <c r="F46" s="23">
        <f>('Sales'!D24+'Sales'!D30+'Sales'!D25+'Sales'!D26+'Sales'!D27+'Sales'!D28+'Sales'!D29)/('Sales'!C24+'Sales'!C25+'Sales'!C26+'Sales'!C27+'Sales'!C28+'Sales'!C30+'Sales'!C29)-1</f>
        <v>0.149535925378648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57031" style="24" customWidth="1"/>
    <col min="2" max="2" width="9.3125" style="24" customWidth="1"/>
    <col min="3" max="6" width="11.2109" style="24" customWidth="1"/>
    <col min="7" max="7" hidden="1" width="16.3333" style="24" customWidth="1"/>
    <col min="8" max="12" width="11.2109" style="24" customWidth="1"/>
    <col min="13" max="16384" width="16.3516" style="24" customWidth="1"/>
  </cols>
  <sheetData>
    <row r="1" ht="16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</v>
      </c>
      <c r="D3" t="s" s="4">
        <v>32</v>
      </c>
      <c r="E3" t="s" s="4">
        <v>40</v>
      </c>
      <c r="F3" t="s" s="4">
        <v>22</v>
      </c>
      <c r="G3" t="s" s="25">
        <v>41</v>
      </c>
      <c r="H3" t="s" s="4">
        <v>42</v>
      </c>
      <c r="I3" t="s" s="4">
        <v>43</v>
      </c>
      <c r="J3" t="s" s="4">
        <v>6</v>
      </c>
      <c r="K3" t="s" s="4">
        <v>44</v>
      </c>
      <c r="L3" t="s" s="4">
        <v>44</v>
      </c>
    </row>
    <row r="4" ht="20.25" customHeight="1">
      <c r="B4" s="26">
        <v>2015</v>
      </c>
      <c r="C4" s="27">
        <v>735</v>
      </c>
      <c r="D4" s="28"/>
      <c r="E4" s="28"/>
      <c r="F4" s="28">
        <v>110</v>
      </c>
      <c r="G4" s="8">
        <f>F4+#REF!-E4</f>
      </c>
      <c r="H4" s="28">
        <v>7.5</v>
      </c>
      <c r="I4" s="29"/>
      <c r="J4" s="29">
        <f>(F4+H4-E4-C4)/C4</f>
        <v>-0.840136054421769</v>
      </c>
      <c r="K4" s="29"/>
      <c r="L4" s="29"/>
    </row>
    <row r="5" ht="20.05" customHeight="1">
      <c r="B5" s="30"/>
      <c r="C5" s="15">
        <v>756</v>
      </c>
      <c r="D5" s="16"/>
      <c r="E5" s="16"/>
      <c r="F5" s="16">
        <v>110</v>
      </c>
      <c r="G5" s="31">
        <f>F5+#REF!-E5</f>
      </c>
      <c r="H5" s="16">
        <v>5.4</v>
      </c>
      <c r="I5" s="23">
        <f>C5/C4-1</f>
        <v>0.0285714285714286</v>
      </c>
      <c r="J5" s="23">
        <f>(F5+H5-E5-C5)/C5</f>
        <v>-0.847354497354497</v>
      </c>
      <c r="K5" s="23"/>
      <c r="L5" s="23"/>
    </row>
    <row r="6" ht="20.05" customHeight="1">
      <c r="B6" s="30"/>
      <c r="C6" s="15">
        <v>569</v>
      </c>
      <c r="D6" s="16"/>
      <c r="E6" s="16"/>
      <c r="F6" s="16">
        <v>109</v>
      </c>
      <c r="G6" s="31">
        <f>F6+#REF!-E6</f>
      </c>
      <c r="H6" s="16">
        <v>-98.90000000000001</v>
      </c>
      <c r="I6" s="23">
        <f>C6/C5-1</f>
        <v>-0.247354497354497</v>
      </c>
      <c r="J6" s="23">
        <f>(F6+H6-E6-C6)/C6</f>
        <v>-0.982249560632689</v>
      </c>
      <c r="K6" s="23"/>
      <c r="L6" s="23"/>
    </row>
    <row r="7" ht="20.05" customHeight="1">
      <c r="B7" s="30"/>
      <c r="C7" s="15">
        <v>614</v>
      </c>
      <c r="D7" s="16"/>
      <c r="E7" s="16"/>
      <c r="F7" s="16">
        <v>139</v>
      </c>
      <c r="G7" s="31">
        <f>F7+#REF!-E7</f>
      </c>
      <c r="H7" s="16">
        <v>-95</v>
      </c>
      <c r="I7" s="23">
        <f>C7/C6-1</f>
        <v>0.07908611599297009</v>
      </c>
      <c r="J7" s="23">
        <f>(F7+H7-E7-C7)/C7</f>
        <v>-0.928338762214984</v>
      </c>
      <c r="K7" s="23"/>
      <c r="L7" s="23"/>
    </row>
    <row r="8" ht="20.05" customHeight="1">
      <c r="B8" s="32">
        <v>2016</v>
      </c>
      <c r="C8" s="15">
        <v>620</v>
      </c>
      <c r="D8" s="16"/>
      <c r="E8" s="16"/>
      <c r="F8" s="16">
        <v>128</v>
      </c>
      <c r="G8" s="31">
        <f>F8+#REF!-E8</f>
      </c>
      <c r="H8" s="16">
        <v>-67.5</v>
      </c>
      <c r="I8" s="23">
        <f>C8/C7-1</f>
        <v>0.00977198697068404</v>
      </c>
      <c r="J8" s="23">
        <f>(F8+H8-E8-C8)/C8</f>
        <v>-0.9024193548387101</v>
      </c>
      <c r="K8" s="23">
        <f>AVERAGE(L5:L8)</f>
        <v>-1.62697022767075</v>
      </c>
      <c r="L8" s="23">
        <f>('Cashflow'!D8-'Cashflow'!C8)/'Cashflow'!C8</f>
        <v>-1.62697022767075</v>
      </c>
    </row>
    <row r="9" ht="20.05" customHeight="1">
      <c r="B9" s="30"/>
      <c r="C9" s="15">
        <v>481.7</v>
      </c>
      <c r="D9" s="16"/>
      <c r="E9" s="16"/>
      <c r="F9" s="16">
        <v>132</v>
      </c>
      <c r="G9" s="31">
        <f>F9+#REF!-E9</f>
      </c>
      <c r="H9" s="16">
        <v>-139.7</v>
      </c>
      <c r="I9" s="23">
        <f>C9/C8-1</f>
        <v>-0.223064516129032</v>
      </c>
      <c r="J9" s="23">
        <f>(F9+H9-E9-C9)/C9</f>
        <v>-1.01598505293751</v>
      </c>
      <c r="K9" s="23">
        <f>AVERAGE(L6:L9)</f>
        <v>-1.30405115157122</v>
      </c>
      <c r="L9" s="23">
        <f>('Cashflow'!D9-'Cashflow'!C9)/'Cashflow'!C9</f>
        <v>-0.981132075471698</v>
      </c>
    </row>
    <row r="10" ht="20.05" customHeight="1">
      <c r="B10" s="30"/>
      <c r="C10" s="15">
        <v>493.8</v>
      </c>
      <c r="D10" s="16"/>
      <c r="E10" s="16"/>
      <c r="F10" s="16">
        <v>128</v>
      </c>
      <c r="G10" s="31">
        <f>F10+#REF!-E10</f>
      </c>
      <c r="H10" s="16">
        <v>-95.8</v>
      </c>
      <c r="I10" s="23">
        <f>C10/C9-1</f>
        <v>0.0251193689018061</v>
      </c>
      <c r="J10" s="23">
        <f>(F10+H10-E10-C10)/C10</f>
        <v>-0.934791413527744</v>
      </c>
      <c r="K10" s="23">
        <f>AVERAGE(L7:L10)</f>
        <v>-3.49005708955323</v>
      </c>
      <c r="L10" s="23">
        <f>('Cashflow'!D10-'Cashflow'!C10)/'Cashflow'!C10</f>
        <v>-7.86206896551724</v>
      </c>
    </row>
    <row r="11" ht="20.05" customHeight="1">
      <c r="B11" s="30"/>
      <c r="C11" s="15">
        <v>946.2</v>
      </c>
      <c r="D11" s="16"/>
      <c r="E11" s="16"/>
      <c r="F11" s="16">
        <v>134</v>
      </c>
      <c r="G11" s="31">
        <f>F11+#REF!-E11</f>
      </c>
      <c r="H11" s="16">
        <v>-88</v>
      </c>
      <c r="I11" s="23">
        <f>C11/C10-1</f>
        <v>0.916160388821385</v>
      </c>
      <c r="J11" s="23">
        <f>(F11+H11-E11-C11)/C11</f>
        <v>-0.95138448530966</v>
      </c>
      <c r="K11" s="23">
        <f>AVERAGE(L8:L11)</f>
        <v>-2.82525052487263</v>
      </c>
      <c r="L11" s="23">
        <f>('Cashflow'!D11-'Cashflow'!C11)/'Cashflow'!C11</f>
        <v>-0.830830830830831</v>
      </c>
    </row>
    <row r="12" ht="20.05" customHeight="1">
      <c r="B12" s="32">
        <v>2017</v>
      </c>
      <c r="C12" s="15">
        <v>838.7</v>
      </c>
      <c r="D12" s="16"/>
      <c r="E12" s="16">
        <v>2</v>
      </c>
      <c r="F12" s="16">
        <v>156</v>
      </c>
      <c r="G12" s="31">
        <f>F12+#REF!-E12</f>
      </c>
      <c r="H12" s="16">
        <v>-18.4</v>
      </c>
      <c r="I12" s="23">
        <f>C12/C11-1</f>
        <v>-0.113612344113295</v>
      </c>
      <c r="J12" s="23">
        <f>(F12+H12-E12-C12)/C12</f>
        <v>-0.8383212113985929</v>
      </c>
      <c r="K12" s="23">
        <f>AVERAGE(L9:L12)</f>
        <v>-2.59530844020996</v>
      </c>
      <c r="L12" s="23">
        <f>('Cashflow'!D12-'Cashflow'!C12)/'Cashflow'!C12</f>
        <v>-0.707201889020071</v>
      </c>
    </row>
    <row r="13" ht="20.05" customHeight="1">
      <c r="B13" s="30"/>
      <c r="C13" s="15">
        <v>659</v>
      </c>
      <c r="D13" s="16"/>
      <c r="E13" s="16">
        <v>24</v>
      </c>
      <c r="F13" s="16">
        <v>158</v>
      </c>
      <c r="G13" s="31">
        <f>F13+#REF!-E13</f>
      </c>
      <c r="H13" s="16">
        <v>-109.6</v>
      </c>
      <c r="I13" s="23">
        <f>C13/C12-1</f>
        <v>-0.21426016454036</v>
      </c>
      <c r="J13" s="23">
        <f>(F13+H13-E13-C13)/C13</f>
        <v>-0.962974203338392</v>
      </c>
      <c r="K13" s="23">
        <f>AVERAGE(L10:L13)</f>
        <v>-2.62698620565576</v>
      </c>
      <c r="L13" s="23">
        <f>('Cashflow'!D13-'Cashflow'!C13)/'Cashflow'!C13</f>
        <v>-1.1078431372549</v>
      </c>
    </row>
    <row r="14" ht="20.05" customHeight="1">
      <c r="B14" s="30"/>
      <c r="C14" s="15">
        <v>739.2</v>
      </c>
      <c r="D14" s="16"/>
      <c r="E14" s="16">
        <v>50</v>
      </c>
      <c r="F14" s="16">
        <v>121</v>
      </c>
      <c r="G14" s="31">
        <f>F14+#REF!-E14</f>
      </c>
      <c r="H14" s="16">
        <v>-87</v>
      </c>
      <c r="I14" s="23">
        <f>C14/C13-1</f>
        <v>0.121699544764795</v>
      </c>
      <c r="J14" s="23">
        <f>(F14+H14-E14-C14)/C14</f>
        <v>-1.02164502164502</v>
      </c>
      <c r="K14" s="23">
        <f>AVERAGE(L11:L14)</f>
        <v>-0.910526753221174</v>
      </c>
      <c r="L14" s="23">
        <f>('Cashflow'!D14-'Cashflow'!C14)/'Cashflow'!C14</f>
        <v>-0.996231155778894</v>
      </c>
    </row>
    <row r="15" ht="20.05" customHeight="1">
      <c r="B15" s="30"/>
      <c r="C15" s="15">
        <v>809</v>
      </c>
      <c r="D15" s="16"/>
      <c r="E15" s="16">
        <v>-124</v>
      </c>
      <c r="F15" s="16">
        <v>147</v>
      </c>
      <c r="G15" s="31">
        <f>F15+#REF!-E15</f>
      </c>
      <c r="H15" s="16">
        <v>27.3</v>
      </c>
      <c r="I15" s="23">
        <f>C15/C14-1</f>
        <v>0.0944264069264069</v>
      </c>
      <c r="J15" s="23">
        <f>(F15+H15-E15-C15)/C15</f>
        <v>-0.631273176761434</v>
      </c>
      <c r="K15" s="23">
        <f>AVERAGE(L12:L15)</f>
        <v>-0.886823519786397</v>
      </c>
      <c r="L15" s="23">
        <f>('Cashflow'!D15-'Cashflow'!C15)/'Cashflow'!C15</f>
        <v>-0.7360178970917231</v>
      </c>
    </row>
    <row r="16" ht="20.05" customHeight="1">
      <c r="B16" s="32">
        <v>2018</v>
      </c>
      <c r="C16" s="15">
        <v>629.7</v>
      </c>
      <c r="D16" s="16"/>
      <c r="E16" s="16">
        <v>108</v>
      </c>
      <c r="F16" s="16">
        <v>162</v>
      </c>
      <c r="G16" s="31">
        <f>F16+#REF!-E16</f>
      </c>
      <c r="H16" s="16">
        <v>-83.40000000000001</v>
      </c>
      <c r="I16" s="23">
        <f>C16/C15-1</f>
        <v>-0.221631644004944</v>
      </c>
      <c r="J16" s="23">
        <f>(F16+H16-E16-C16)/C16</f>
        <v>-1.04668889947594</v>
      </c>
      <c r="K16" s="23">
        <f>AVERAGE(L13:L16)</f>
        <v>-0.982907330778357</v>
      </c>
      <c r="L16" s="23">
        <f>('Cashflow'!D16-'Cashflow'!C16)/'Cashflow'!C16</f>
        <v>-1.09153713298791</v>
      </c>
    </row>
    <row r="17" ht="20.05" customHeight="1">
      <c r="B17" s="30"/>
      <c r="C17" s="15">
        <v>774.3</v>
      </c>
      <c r="D17" s="16"/>
      <c r="E17" s="16">
        <v>108</v>
      </c>
      <c r="F17" s="16">
        <v>162</v>
      </c>
      <c r="G17" s="31">
        <f>F17+#REF!-E17</f>
      </c>
      <c r="H17" s="16">
        <v>85.40000000000001</v>
      </c>
      <c r="I17" s="23">
        <f>C17/C16-1</f>
        <v>0.229633158646975</v>
      </c>
      <c r="J17" s="23">
        <f>(F17+H17-E17-C17)/C17</f>
        <v>-0.81996642128374</v>
      </c>
      <c r="K17" s="23">
        <f>AVERAGE(L14:L17)</f>
        <v>-1.00768176497363</v>
      </c>
      <c r="L17" s="23">
        <f>('Cashflow'!D17-'Cashflow'!C17)/'Cashflow'!C17</f>
        <v>-1.20694087403599</v>
      </c>
    </row>
    <row r="18" ht="20.05" customHeight="1">
      <c r="B18" s="30"/>
      <c r="C18" s="15">
        <v>959.8</v>
      </c>
      <c r="D18" s="16"/>
      <c r="E18" s="16">
        <v>4</v>
      </c>
      <c r="F18" s="16">
        <v>161</v>
      </c>
      <c r="G18" s="31">
        <f>F18+#REF!-E18</f>
      </c>
      <c r="H18" s="16">
        <v>-283.9</v>
      </c>
      <c r="I18" s="23">
        <f>C18/C17-1</f>
        <v>0.239571225623143</v>
      </c>
      <c r="J18" s="23">
        <f>(F18+H18-E18-C18)/C18</f>
        <v>-1.132215044801</v>
      </c>
      <c r="K18" s="23">
        <f>AVERAGE(L15:L18)</f>
        <v>-0.893018548053958</v>
      </c>
      <c r="L18" s="23">
        <f>('Cashflow'!D18-'Cashflow'!C18)/'Cashflow'!C18</f>
        <v>-0.537578288100209</v>
      </c>
    </row>
    <row r="19" ht="20.05" customHeight="1">
      <c r="B19" s="30"/>
      <c r="C19" s="15">
        <v>719.2</v>
      </c>
      <c r="D19" s="16"/>
      <c r="E19" s="16">
        <v>6</v>
      </c>
      <c r="F19" s="16">
        <v>139</v>
      </c>
      <c r="G19" s="31">
        <f>F19+#REF!-E19</f>
      </c>
      <c r="H19" s="16">
        <v>-180.6</v>
      </c>
      <c r="I19" s="23">
        <f>C19/C18-1</f>
        <v>-0.250677224421755</v>
      </c>
      <c r="J19" s="23">
        <f>(F19+H19-E19-C19)/C19</f>
        <v>-1.06618464961068</v>
      </c>
      <c r="K19" s="23">
        <f>AVERAGE(L16:L19)</f>
        <v>-0.983534930601772</v>
      </c>
      <c r="L19" s="23">
        <f>('Cashflow'!D19-'Cashflow'!C19)/'Cashflow'!C19</f>
        <v>-1.09808342728298</v>
      </c>
    </row>
    <row r="20" ht="20.05" customHeight="1">
      <c r="B20" s="32">
        <v>2019</v>
      </c>
      <c r="C20" s="15">
        <v>637.9</v>
      </c>
      <c r="D20" s="16"/>
      <c r="E20" s="16">
        <v>-41</v>
      </c>
      <c r="F20" s="16">
        <v>168</v>
      </c>
      <c r="G20" s="31">
        <f>F20+#REF!-E20</f>
      </c>
      <c r="H20" s="16">
        <v>-261.6</v>
      </c>
      <c r="I20" s="23">
        <f>C20/C19-1</f>
        <v>-0.113042269187987</v>
      </c>
      <c r="J20" s="23">
        <f>(F20+H20-E20-C20)/C20</f>
        <v>-1.08245806552751</v>
      </c>
      <c r="K20" s="23">
        <f>AVERAGE(L17:L20)</f>
        <v>-1.04416713087128</v>
      </c>
      <c r="L20" s="23">
        <f>('Cashflow'!D20-'Cashflow'!C20)/'Cashflow'!C20</f>
        <v>-1.33406593406593</v>
      </c>
    </row>
    <row r="21" ht="20.05" customHeight="1">
      <c r="B21" s="30"/>
      <c r="C21" s="15">
        <v>566.1</v>
      </c>
      <c r="D21" s="16"/>
      <c r="E21" s="16">
        <v>1</v>
      </c>
      <c r="F21" s="16">
        <v>156</v>
      </c>
      <c r="G21" s="31">
        <f>F21+#REF!-E21</f>
      </c>
      <c r="H21" s="16">
        <v>-243.4</v>
      </c>
      <c r="I21" s="23">
        <f>C21/C20-1</f>
        <v>-0.112556827088885</v>
      </c>
      <c r="J21" s="23">
        <f>(F21+H21-E21-C21)/C21</f>
        <v>-1.15615615615616</v>
      </c>
      <c r="K21" s="23">
        <f>AVERAGE(L18:L21)</f>
        <v>-1.25599975155826</v>
      </c>
      <c r="L21" s="23">
        <f>('Cashflow'!D21-'Cashflow'!C21)/'Cashflow'!C21</f>
        <v>-2.05427135678392</v>
      </c>
    </row>
    <row r="22" ht="20.05" customHeight="1">
      <c r="B22" s="30"/>
      <c r="C22" s="15">
        <v>530</v>
      </c>
      <c r="D22" s="16"/>
      <c r="E22" s="16">
        <v>-9</v>
      </c>
      <c r="F22" s="16">
        <v>160</v>
      </c>
      <c r="G22" s="31">
        <f>F22+#REF!-E22</f>
      </c>
      <c r="H22" s="16">
        <v>-294</v>
      </c>
      <c r="I22" s="23">
        <f>C22/C21-1</f>
        <v>-0.0637696520049461</v>
      </c>
      <c r="J22" s="23">
        <f>(F22+H22-E22-C22)/C22</f>
        <v>-1.23584905660377</v>
      </c>
      <c r="K22" s="23">
        <f>AVERAGE(L19:L22)</f>
        <v>-1.55144532162912</v>
      </c>
      <c r="L22" s="23">
        <f>('Cashflow'!D22-'Cashflow'!C22)/'Cashflow'!C22</f>
        <v>-1.71936056838366</v>
      </c>
    </row>
    <row r="23" ht="20.05" customHeight="1">
      <c r="B23" s="30"/>
      <c r="C23" s="15">
        <v>779</v>
      </c>
      <c r="D23" s="16"/>
      <c r="E23" s="16">
        <v>-60</v>
      </c>
      <c r="F23" s="16">
        <v>158.5</v>
      </c>
      <c r="G23" s="31">
        <f>F23+#REF!-E23</f>
      </c>
      <c r="H23" s="16">
        <v>-368</v>
      </c>
      <c r="I23" s="23">
        <f>C23/C22-1</f>
        <v>0.469811320754717</v>
      </c>
      <c r="J23" s="23">
        <f>(F23+H23-E23-C23)/C23</f>
        <v>-1.19191270860077</v>
      </c>
      <c r="K23" s="23">
        <f>AVERAGE(L20:L23)</f>
        <v>-1.45165107477193</v>
      </c>
      <c r="L23" s="23">
        <f>('Cashflow'!D23-'Cashflow'!C23)/'Cashflow'!C23</f>
        <v>-0.698906439854192</v>
      </c>
    </row>
    <row r="24" ht="20.05" customHeight="1">
      <c r="B24" s="32">
        <v>2020</v>
      </c>
      <c r="C24" s="15">
        <v>738.4</v>
      </c>
      <c r="D24" s="16">
        <v>797</v>
      </c>
      <c r="E24" s="16">
        <v>15</v>
      </c>
      <c r="F24" s="16">
        <v>163.3</v>
      </c>
      <c r="G24" s="31">
        <f>F24+#REF!-E24</f>
      </c>
      <c r="H24" s="16">
        <v>-145.9</v>
      </c>
      <c r="I24" s="23">
        <f>C24/C23-1</f>
        <v>-0.0521181001283697</v>
      </c>
      <c r="J24" s="23">
        <f>(F24+H24-E24-C24)/C24</f>
        <v>-0.996749729144095</v>
      </c>
      <c r="K24" s="23">
        <f>AVERAGE(L21:L24)</f>
        <v>-1.300928828820</v>
      </c>
      <c r="L24" s="23">
        <f>('Cashflow'!D24-'Cashflow'!C24)/'Cashflow'!C24</f>
        <v>-0.731176950258222</v>
      </c>
    </row>
    <row r="25" ht="20.05" customHeight="1">
      <c r="B25" s="30"/>
      <c r="C25" s="15">
        <v>479.6</v>
      </c>
      <c r="D25" s="16">
        <v>668</v>
      </c>
      <c r="E25" s="16">
        <v>0</v>
      </c>
      <c r="F25" s="16">
        <v>163.7</v>
      </c>
      <c r="G25" s="31">
        <f>F25+#REF!-E25</f>
      </c>
      <c r="H25" s="16">
        <v>-282.1</v>
      </c>
      <c r="I25" s="23">
        <f>C25/C24-1</f>
        <v>-0.350487540628386</v>
      </c>
      <c r="J25" s="23">
        <f>(F25+H25-E25-C25)/C25</f>
        <v>-1.24687239366138</v>
      </c>
      <c r="K25" s="23">
        <f>AVERAGE(L22:L25)</f>
        <v>-1.16385369196811</v>
      </c>
      <c r="L25" s="23">
        <f>('Cashflow'!D25-'Cashflow'!C25)/'Cashflow'!C25</f>
        <v>-1.50597080937638</v>
      </c>
    </row>
    <row r="26" ht="20.05" customHeight="1">
      <c r="B26" s="30"/>
      <c r="C26" s="15">
        <v>393</v>
      </c>
      <c r="D26" s="16">
        <v>651</v>
      </c>
      <c r="E26" s="16">
        <v>19</v>
      </c>
      <c r="F26" s="16">
        <v>162</v>
      </c>
      <c r="G26" s="31">
        <f>F26+#REF!-E26</f>
      </c>
      <c r="H26" s="16">
        <v>-336</v>
      </c>
      <c r="I26" s="23">
        <f>C26/C25-1</f>
        <v>-0.180567139282736</v>
      </c>
      <c r="J26" s="23">
        <f>(F26+H26-E26-C26)/C26</f>
        <v>-1.4910941475827</v>
      </c>
      <c r="K26" s="23">
        <f>AVERAGE(L23:L26)</f>
        <v>-0.966415206186898</v>
      </c>
      <c r="L26" s="23">
        <f>('Cashflow'!D26-'Cashflow'!C26)/'Cashflow'!C26</f>
        <v>-0.929606625258799</v>
      </c>
    </row>
    <row r="27" ht="20.05" customHeight="1">
      <c r="B27" s="30"/>
      <c r="C27" s="15">
        <v>586</v>
      </c>
      <c r="D27" s="21">
        <v>707</v>
      </c>
      <c r="E27" s="16">
        <v>-47</v>
      </c>
      <c r="F27" s="16">
        <v>168</v>
      </c>
      <c r="G27" s="31">
        <f>F27+#REF!-E27</f>
      </c>
      <c r="H27" s="16">
        <v>-344</v>
      </c>
      <c r="I27" s="23">
        <f>C27/C26-1</f>
        <v>0.491094147582697</v>
      </c>
      <c r="J27" s="23">
        <f>(F27+H27-E27-C27)/C27</f>
        <v>-1.22013651877133</v>
      </c>
      <c r="K27" s="23">
        <f>AVERAGE(L24:L27)</f>
        <v>-0.950975853242789</v>
      </c>
      <c r="L27" s="23">
        <f>('Cashflow'!D27-'Cashflow'!C27)/'Cashflow'!C27</f>
        <v>-0.637149028077754</v>
      </c>
    </row>
    <row r="28" ht="20.05" customHeight="1">
      <c r="B28" s="32">
        <v>2021</v>
      </c>
      <c r="C28" s="15">
        <v>581</v>
      </c>
      <c r="D28" s="16">
        <v>586</v>
      </c>
      <c r="E28" s="21">
        <v>-1075</v>
      </c>
      <c r="F28" s="16">
        <v>149</v>
      </c>
      <c r="G28" s="31">
        <f>F28+#REF!-E28</f>
      </c>
      <c r="H28" s="16">
        <v>-1295</v>
      </c>
      <c r="I28" s="23">
        <f>C28/C27-1</f>
        <v>-0.00853242320819113</v>
      </c>
      <c r="J28" s="23">
        <f>(F28+H28-E28-C28)/C28</f>
        <v>-1.12220309810671</v>
      </c>
      <c r="K28" s="23">
        <f>AVERAGE(L25:L28)</f>
        <v>-0.931958987941007</v>
      </c>
      <c r="L28" s="23">
        <f>('Cashflow'!D28-'Cashflow'!C28)/'Cashflow'!C28</f>
        <v>-0.655109489051095</v>
      </c>
    </row>
    <row r="29" ht="20.05" customHeight="1">
      <c r="B29" s="30"/>
      <c r="C29" s="19">
        <v>774</v>
      </c>
      <c r="D29" s="18">
        <v>679.77</v>
      </c>
      <c r="E29" s="21">
        <v>-297</v>
      </c>
      <c r="F29" s="21">
        <v>127</v>
      </c>
      <c r="G29" s="31">
        <f>F29+#REF!-E29</f>
      </c>
      <c r="H29" s="21">
        <v>-369</v>
      </c>
      <c r="I29" s="23">
        <f>C29/C28-1</f>
        <v>0.332185886402754</v>
      </c>
      <c r="J29" s="23">
        <f>(F29+H29-E29-C29)/C29</f>
        <v>-0.928940568475452</v>
      </c>
      <c r="K29" s="23">
        <f>AVERAGE(L26:L29)</f>
        <v>-0.79379552392615</v>
      </c>
      <c r="L29" s="23">
        <f>('Cashflow'!D29-'Cashflow'!C29)/'Cashflow'!C29</f>
        <v>-0.953316953316953</v>
      </c>
    </row>
    <row r="30" ht="20.05" customHeight="1">
      <c r="B30" s="30"/>
      <c r="C30" s="15">
        <f>2134.2-C29-C28</f>
        <v>779.2</v>
      </c>
      <c r="D30" s="21">
        <v>890.1</v>
      </c>
      <c r="E30" s="21">
        <f>-2.8-1392.2-E29-E28</f>
        <v>-23</v>
      </c>
      <c r="F30" s="21">
        <f>396+6-F29-F28</f>
        <v>126</v>
      </c>
      <c r="G30" s="31">
        <f>F30+#REF!-E30</f>
      </c>
      <c r="H30" s="16">
        <f>-1744.2-H29-H28</f>
        <v>-80.2</v>
      </c>
      <c r="I30" s="23">
        <f>C30/C29-1</f>
        <v>0.00671834625322997</v>
      </c>
      <c r="J30" s="23">
        <f>(F30+H30-E30-C30)/C30</f>
        <v>-0.91170431211499</v>
      </c>
      <c r="K30" s="23">
        <f>AVERAGE(L27:L30)</f>
        <v>-0.830452294054653</v>
      </c>
      <c r="L30" s="23">
        <f>('Cashflow'!D30-'Cashflow'!C30)/'Cashflow'!C30</f>
        <v>-1.07623370577281</v>
      </c>
    </row>
    <row r="31" ht="20.05" customHeight="1">
      <c r="B31" s="30"/>
      <c r="C31" s="15"/>
      <c r="D31" s="21">
        <f>'Model'!C6</f>
        <v>896.08</v>
      </c>
      <c r="E31" s="21"/>
      <c r="F31" s="16"/>
      <c r="G31" s="31">
        <f>F31+#REF!-E31</f>
      </c>
      <c r="H31" s="16"/>
      <c r="I31" s="23"/>
      <c r="J31" s="23">
        <f>AVERAGE('Model'!C7:F7)</f>
        <v>-0.87679566479115</v>
      </c>
      <c r="K31" s="23"/>
      <c r="L31" s="23"/>
    </row>
    <row r="32" ht="20.05" customHeight="1">
      <c r="B32" s="32">
        <v>2022</v>
      </c>
      <c r="C32" s="15"/>
      <c r="D32" s="16">
        <f>'Model'!D6</f>
        <v>869.1976</v>
      </c>
      <c r="E32" s="21"/>
      <c r="F32" s="16"/>
      <c r="G32" s="31">
        <f>F32+#REF!-E32</f>
      </c>
      <c r="H32" s="16"/>
      <c r="I32" s="23"/>
      <c r="J32" s="23"/>
      <c r="K32" s="23"/>
      <c r="L32" s="23"/>
    </row>
    <row r="33" ht="20.05" customHeight="1">
      <c r="B33" s="30"/>
      <c r="C33" s="15"/>
      <c r="D33" s="16">
        <f>'Model'!E6</f>
        <v>930.041432</v>
      </c>
      <c r="E33" s="21"/>
      <c r="F33" s="16"/>
      <c r="G33" s="31">
        <f>F33+#REF!-E33</f>
      </c>
      <c r="H33" s="16"/>
      <c r="I33" s="23"/>
      <c r="J33" s="23"/>
      <c r="K33" s="23"/>
      <c r="L33" s="23"/>
    </row>
    <row r="34" ht="20.05" customHeight="1">
      <c r="B34" s="30"/>
      <c r="C34" s="15"/>
      <c r="D34" s="16">
        <f>'Model'!F6</f>
        <v>995.14433224</v>
      </c>
      <c r="E34" s="21"/>
      <c r="F34" s="16"/>
      <c r="G34" s="31">
        <f>F34+#REF!-E34</f>
      </c>
      <c r="H34" s="16"/>
      <c r="I34" s="23"/>
      <c r="J34" s="23"/>
      <c r="K34" s="23"/>
      <c r="L34" s="23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84375" style="33" customWidth="1"/>
    <col min="2" max="2" width="10.7188" style="33" customWidth="1"/>
    <col min="3" max="9" width="11.6094" style="33" customWidth="1"/>
    <col min="10" max="16384" width="16.3516" style="33" customWidth="1"/>
  </cols>
  <sheetData>
    <row r="1" ht="15.2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46</v>
      </c>
      <c r="D3" t="s" s="4">
        <v>8</v>
      </c>
      <c r="E3" t="s" s="4">
        <v>9</v>
      </c>
      <c r="F3" t="s" s="4">
        <v>10</v>
      </c>
      <c r="G3" t="s" s="4">
        <v>47</v>
      </c>
      <c r="H3" t="s" s="4">
        <v>3</v>
      </c>
      <c r="I3" t="s" s="4">
        <v>27</v>
      </c>
    </row>
    <row r="4" ht="20.05" customHeight="1">
      <c r="B4" s="26">
        <v>2015</v>
      </c>
      <c r="C4" s="27">
        <v>692</v>
      </c>
      <c r="D4" s="28">
        <v>49</v>
      </c>
      <c r="E4" s="28">
        <v>-172</v>
      </c>
      <c r="F4" s="28">
        <v>58</v>
      </c>
      <c r="G4" s="28">
        <f>D4+E4</f>
        <v>-123</v>
      </c>
      <c r="H4" s="28">
        <f>AVERAGE(G3:G4)</f>
        <v>-123</v>
      </c>
      <c r="I4" s="28">
        <f>-F4</f>
        <v>-58</v>
      </c>
    </row>
    <row r="5" ht="20.05" customHeight="1">
      <c r="B5" s="30"/>
      <c r="C5" s="15">
        <v>699</v>
      </c>
      <c r="D5" s="16">
        <v>119</v>
      </c>
      <c r="E5" s="16">
        <v>-97</v>
      </c>
      <c r="F5" s="16">
        <v>842</v>
      </c>
      <c r="G5" s="16">
        <f>D5+E5</f>
        <v>22</v>
      </c>
      <c r="H5" s="16">
        <f>AVERAGE(G3:G5)</f>
        <v>-50.5</v>
      </c>
      <c r="I5" s="16">
        <f>-F5+I4</f>
        <v>-900</v>
      </c>
    </row>
    <row r="6" ht="20.05" customHeight="1">
      <c r="B6" s="30"/>
      <c r="C6" s="15">
        <v>317</v>
      </c>
      <c r="D6" s="16">
        <v>-252</v>
      </c>
      <c r="E6" s="16">
        <v>-235</v>
      </c>
      <c r="F6" s="16">
        <v>-359</v>
      </c>
      <c r="G6" s="16">
        <f>D6+E6</f>
        <v>-487</v>
      </c>
      <c r="H6" s="16">
        <f>AVERAGE(G3:G6)</f>
        <v>-196</v>
      </c>
      <c r="I6" s="16">
        <f>-F6+I5</f>
        <v>-541</v>
      </c>
    </row>
    <row r="7" ht="20.05" customHeight="1">
      <c r="B7" s="30"/>
      <c r="C7" s="15">
        <v>819</v>
      </c>
      <c r="D7" s="16">
        <v>50</v>
      </c>
      <c r="E7" s="16">
        <v>155</v>
      </c>
      <c r="F7" s="16">
        <v>919</v>
      </c>
      <c r="G7" s="16">
        <f>D7+E7</f>
        <v>205</v>
      </c>
      <c r="H7" s="16">
        <f>AVERAGE(G4:G7)</f>
        <v>-95.75</v>
      </c>
      <c r="I7" s="16">
        <f>-F7+I6</f>
        <v>-1460</v>
      </c>
    </row>
    <row r="8" ht="20.05" customHeight="1">
      <c r="B8" s="32">
        <v>2016</v>
      </c>
      <c r="C8" s="15">
        <v>571</v>
      </c>
      <c r="D8" s="16">
        <v>-358</v>
      </c>
      <c r="E8" s="16">
        <v>-50</v>
      </c>
      <c r="F8" s="16">
        <v>-758</v>
      </c>
      <c r="G8" s="16">
        <f>D8+E8</f>
        <v>-408</v>
      </c>
      <c r="H8" s="16">
        <f>AVERAGE(G5:G8)</f>
        <v>-167</v>
      </c>
      <c r="I8" s="16">
        <f>-F8+I7</f>
        <v>-702</v>
      </c>
    </row>
    <row r="9" ht="20.05" customHeight="1">
      <c r="B9" s="30"/>
      <c r="C9" s="15">
        <v>848</v>
      </c>
      <c r="D9" s="16">
        <v>16</v>
      </c>
      <c r="E9" s="16">
        <v>-57</v>
      </c>
      <c r="F9" s="16">
        <v>22</v>
      </c>
      <c r="G9" s="16">
        <f>D9+E9</f>
        <v>-41</v>
      </c>
      <c r="H9" s="16">
        <f>AVERAGE(G6:G9)</f>
        <v>-182.75</v>
      </c>
      <c r="I9" s="16">
        <f>-F9+I8</f>
        <v>-724</v>
      </c>
    </row>
    <row r="10" ht="20.05" customHeight="1">
      <c r="B10" s="30"/>
      <c r="C10" s="15">
        <v>29</v>
      </c>
      <c r="D10" s="16">
        <v>-199</v>
      </c>
      <c r="E10" s="16">
        <v>-90</v>
      </c>
      <c r="F10" s="16">
        <v>694</v>
      </c>
      <c r="G10" s="16">
        <f>D10+E10</f>
        <v>-289</v>
      </c>
      <c r="H10" s="16">
        <f>AVERAGE(G7:G10)</f>
        <v>-133.25</v>
      </c>
      <c r="I10" s="16">
        <f>-F10+I9</f>
        <v>-1418</v>
      </c>
    </row>
    <row r="11" ht="20.05" customHeight="1">
      <c r="B11" s="30"/>
      <c r="C11" s="15">
        <v>999</v>
      </c>
      <c r="D11" s="16">
        <v>169</v>
      </c>
      <c r="E11" s="16">
        <v>-7</v>
      </c>
      <c r="F11" s="16">
        <v>-504</v>
      </c>
      <c r="G11" s="16">
        <f>D11+E11</f>
        <v>162</v>
      </c>
      <c r="H11" s="16">
        <f>AVERAGE(G8:G11)</f>
        <v>-144</v>
      </c>
      <c r="I11" s="16">
        <f>-F11+I10</f>
        <v>-914</v>
      </c>
    </row>
    <row r="12" ht="20.05" customHeight="1">
      <c r="B12" s="32">
        <v>2017</v>
      </c>
      <c r="C12" s="15">
        <v>847</v>
      </c>
      <c r="D12" s="16">
        <v>248</v>
      </c>
      <c r="E12" s="16">
        <v>31</v>
      </c>
      <c r="F12" s="16">
        <v>-333</v>
      </c>
      <c r="G12" s="16">
        <f>D12+E12</f>
        <v>279</v>
      </c>
      <c r="H12" s="16">
        <f>AVERAGE(G9:G12)</f>
        <v>27.75</v>
      </c>
      <c r="I12" s="16">
        <f>-F12+I11</f>
        <v>-581</v>
      </c>
    </row>
    <row r="13" ht="20.05" customHeight="1">
      <c r="B13" s="30"/>
      <c r="C13" s="15">
        <v>510</v>
      </c>
      <c r="D13" s="16">
        <v>-55</v>
      </c>
      <c r="E13" s="16">
        <v>-18</v>
      </c>
      <c r="F13" s="16">
        <v>46</v>
      </c>
      <c r="G13" s="16">
        <f>D13+E13</f>
        <v>-73</v>
      </c>
      <c r="H13" s="16">
        <f>AVERAGE(G10:G13)</f>
        <v>19.75</v>
      </c>
      <c r="I13" s="16">
        <f>-F13+I12</f>
        <v>-627</v>
      </c>
    </row>
    <row r="14" ht="20.05" customHeight="1">
      <c r="B14" s="30"/>
      <c r="C14" s="15">
        <v>796</v>
      </c>
      <c r="D14" s="16">
        <v>3</v>
      </c>
      <c r="E14" s="16">
        <v>-66</v>
      </c>
      <c r="F14" s="16">
        <v>66</v>
      </c>
      <c r="G14" s="16">
        <f>D14+E14</f>
        <v>-63</v>
      </c>
      <c r="H14" s="16">
        <f>AVERAGE(G11:G14)</f>
        <v>76.25</v>
      </c>
      <c r="I14" s="16">
        <f>-F14+I13</f>
        <v>-693</v>
      </c>
    </row>
    <row r="15" ht="20.05" customHeight="1">
      <c r="B15" s="30"/>
      <c r="C15" s="15">
        <v>894</v>
      </c>
      <c r="D15" s="16">
        <v>236</v>
      </c>
      <c r="E15" s="16">
        <v>-129</v>
      </c>
      <c r="F15" s="16">
        <v>-73</v>
      </c>
      <c r="G15" s="16">
        <f>D15+E15</f>
        <v>107</v>
      </c>
      <c r="H15" s="16">
        <f>AVERAGE(G12:G15)</f>
        <v>62.5</v>
      </c>
      <c r="I15" s="16">
        <f>-F15+I14</f>
        <v>-620</v>
      </c>
    </row>
    <row r="16" ht="20.05" customHeight="1">
      <c r="B16" s="32">
        <v>2018</v>
      </c>
      <c r="C16" s="15">
        <v>579</v>
      </c>
      <c r="D16" s="16">
        <v>-53</v>
      </c>
      <c r="E16" s="16">
        <v>-37</v>
      </c>
      <c r="F16" s="16">
        <v>75</v>
      </c>
      <c r="G16" s="16">
        <f>D16+E16</f>
        <v>-90</v>
      </c>
      <c r="H16" s="16">
        <f>AVERAGE(G13:G16)</f>
        <v>-29.75</v>
      </c>
      <c r="I16" s="16">
        <f>-F16+I15</f>
        <v>-695</v>
      </c>
    </row>
    <row r="17" ht="20.05" customHeight="1">
      <c r="B17" s="30"/>
      <c r="C17" s="15">
        <v>778</v>
      </c>
      <c r="D17" s="16">
        <v>-161</v>
      </c>
      <c r="E17" s="16">
        <v>-115</v>
      </c>
      <c r="F17" s="16">
        <v>358</v>
      </c>
      <c r="G17" s="16">
        <f>D17+E17</f>
        <v>-276</v>
      </c>
      <c r="H17" s="16">
        <f>AVERAGE(G14:G17)</f>
        <v>-80.5</v>
      </c>
      <c r="I17" s="16">
        <f>-F17+I16</f>
        <v>-1053</v>
      </c>
    </row>
    <row r="18" ht="20.05" customHeight="1">
      <c r="B18" s="30"/>
      <c r="C18" s="15">
        <v>958</v>
      </c>
      <c r="D18" s="16">
        <v>443</v>
      </c>
      <c r="E18" s="16">
        <v>-5</v>
      </c>
      <c r="F18" s="16">
        <v>-569</v>
      </c>
      <c r="G18" s="16">
        <f>D18+E18</f>
        <v>438</v>
      </c>
      <c r="H18" s="16">
        <f>AVERAGE(G15:G18)</f>
        <v>44.75</v>
      </c>
      <c r="I18" s="16">
        <f>-F18+I17</f>
        <v>-484</v>
      </c>
    </row>
    <row r="19" ht="20.05" customHeight="1">
      <c r="B19" s="30"/>
      <c r="C19" s="15">
        <v>887</v>
      </c>
      <c r="D19" s="16">
        <v>-87</v>
      </c>
      <c r="E19" s="16">
        <v>54</v>
      </c>
      <c r="F19" s="16">
        <v>33</v>
      </c>
      <c r="G19" s="16">
        <f>D19+E19</f>
        <v>-33</v>
      </c>
      <c r="H19" s="16">
        <f>AVERAGE(G16:G19)</f>
        <v>9.75</v>
      </c>
      <c r="I19" s="16">
        <f>-F19+I18</f>
        <v>-517</v>
      </c>
    </row>
    <row r="20" ht="20.05" customHeight="1">
      <c r="B20" s="32">
        <v>2019</v>
      </c>
      <c r="C20" s="15">
        <v>546</v>
      </c>
      <c r="D20" s="16">
        <v>-182.4</v>
      </c>
      <c r="E20" s="16">
        <v>-75.2</v>
      </c>
      <c r="F20" s="16">
        <v>382.2</v>
      </c>
      <c r="G20" s="16">
        <f>D20+E20</f>
        <v>-257.6</v>
      </c>
      <c r="H20" s="16">
        <f>AVERAGE(G17:G20)</f>
        <v>-32.15</v>
      </c>
      <c r="I20" s="16">
        <f>-F20+I19</f>
        <v>-899.2</v>
      </c>
    </row>
    <row r="21" ht="20.05" customHeight="1">
      <c r="B21" s="30"/>
      <c r="C21" s="15">
        <v>398</v>
      </c>
      <c r="D21" s="16">
        <v>-419.6</v>
      </c>
      <c r="E21" s="16">
        <v>-76.8</v>
      </c>
      <c r="F21" s="16">
        <v>742.8</v>
      </c>
      <c r="G21" s="16">
        <f>D21+E21</f>
        <v>-496.4</v>
      </c>
      <c r="H21" s="16">
        <f>AVERAGE(G18:G21)</f>
        <v>-87.25</v>
      </c>
      <c r="I21" s="16">
        <f>-F21+I20</f>
        <v>-1642</v>
      </c>
    </row>
    <row r="22" ht="20.05" customHeight="1">
      <c r="B22" s="30"/>
      <c r="C22" s="15">
        <v>563</v>
      </c>
      <c r="D22" s="16">
        <v>-405</v>
      </c>
      <c r="E22" s="16">
        <v>-2</v>
      </c>
      <c r="F22" s="16">
        <v>42</v>
      </c>
      <c r="G22" s="16">
        <f>D22+E22</f>
        <v>-407</v>
      </c>
      <c r="H22" s="16">
        <f>AVERAGE(G19:G22)</f>
        <v>-298.5</v>
      </c>
      <c r="I22" s="16">
        <f>-F22+I21</f>
        <v>-1684</v>
      </c>
    </row>
    <row r="23" ht="20.05" customHeight="1">
      <c r="B23" s="30"/>
      <c r="C23" s="15">
        <v>823</v>
      </c>
      <c r="D23" s="16">
        <v>247.8</v>
      </c>
      <c r="E23" s="16">
        <v>-69.59999999999999</v>
      </c>
      <c r="F23" s="16">
        <v>-150.5</v>
      </c>
      <c r="G23" s="16">
        <f>D23+E23</f>
        <v>178.2</v>
      </c>
      <c r="H23" s="16">
        <f>AVERAGE(G20:G23)</f>
        <v>-245.7</v>
      </c>
      <c r="I23" s="16">
        <f>-F23+I22</f>
        <v>-1533.5</v>
      </c>
    </row>
    <row r="24" ht="20.05" customHeight="1">
      <c r="B24" s="32">
        <v>2020</v>
      </c>
      <c r="C24" s="15">
        <v>735.8</v>
      </c>
      <c r="D24" s="16">
        <v>197.8</v>
      </c>
      <c r="E24" s="16">
        <v>4.3</v>
      </c>
      <c r="F24" s="16">
        <v>-177.9</v>
      </c>
      <c r="G24" s="16">
        <f>D24+E24</f>
        <v>202.1</v>
      </c>
      <c r="H24" s="16">
        <f>AVERAGE(G21:G24)</f>
        <v>-130.775</v>
      </c>
      <c r="I24" s="16">
        <f>-F24+I23</f>
        <v>-1355.6</v>
      </c>
    </row>
    <row r="25" ht="20.05" customHeight="1">
      <c r="B25" s="30"/>
      <c r="C25" s="15">
        <v>452.2</v>
      </c>
      <c r="D25" s="16">
        <v>-228.8</v>
      </c>
      <c r="E25" s="16">
        <v>-10.3</v>
      </c>
      <c r="F25" s="16">
        <v>212.9</v>
      </c>
      <c r="G25" s="16">
        <f>D25+E25</f>
        <v>-239.1</v>
      </c>
      <c r="H25" s="16">
        <f>AVERAGE(G22:G25)</f>
        <v>-66.45</v>
      </c>
      <c r="I25" s="16">
        <f>-F25+I24</f>
        <v>-1568.5</v>
      </c>
    </row>
    <row r="26" ht="20.05" customHeight="1">
      <c r="B26" s="30"/>
      <c r="C26" s="15">
        <v>483</v>
      </c>
      <c r="D26" s="16">
        <v>34</v>
      </c>
      <c r="E26" s="16">
        <v>2</v>
      </c>
      <c r="F26" s="16">
        <v>-26</v>
      </c>
      <c r="G26" s="16">
        <f>D26+E26</f>
        <v>36</v>
      </c>
      <c r="H26" s="16">
        <f>AVERAGE(G23:G26)</f>
        <v>44.3</v>
      </c>
      <c r="I26" s="16">
        <f>-F26+I25</f>
        <v>-1542.5</v>
      </c>
    </row>
    <row r="27" ht="20.05" customHeight="1">
      <c r="B27" s="30"/>
      <c r="C27" s="15">
        <v>463</v>
      </c>
      <c r="D27" s="16">
        <v>168</v>
      </c>
      <c r="E27" s="16">
        <v>1</v>
      </c>
      <c r="F27" s="16">
        <v>-167</v>
      </c>
      <c r="G27" s="16">
        <f>D27+E27</f>
        <v>169</v>
      </c>
      <c r="H27" s="16">
        <f>AVERAGE(G24:G27)</f>
        <v>42</v>
      </c>
      <c r="I27" s="16">
        <f>-F27+I26</f>
        <v>-1375.5</v>
      </c>
    </row>
    <row r="28" ht="20.05" customHeight="1">
      <c r="B28" s="32">
        <v>2021</v>
      </c>
      <c r="C28" s="15">
        <v>548</v>
      </c>
      <c r="D28" s="16">
        <v>189</v>
      </c>
      <c r="E28" s="16">
        <v>10</v>
      </c>
      <c r="F28" s="16">
        <v>-176</v>
      </c>
      <c r="G28" s="16">
        <f>D28+E28</f>
        <v>199</v>
      </c>
      <c r="H28" s="16">
        <f>AVERAGE(G25:G28)</f>
        <v>41.225</v>
      </c>
      <c r="I28" s="16">
        <f>-F28+I27</f>
        <v>-1199.5</v>
      </c>
    </row>
    <row r="29" ht="20.05" customHeight="1">
      <c r="B29" s="30"/>
      <c r="C29" s="15">
        <v>814</v>
      </c>
      <c r="D29" s="16">
        <v>38</v>
      </c>
      <c r="E29" s="16">
        <v>-7</v>
      </c>
      <c r="F29" s="16">
        <v>6</v>
      </c>
      <c r="G29" s="16">
        <f>D29+E29</f>
        <v>31</v>
      </c>
      <c r="H29" s="16">
        <f>AVERAGE(G26:G29)</f>
        <v>108.75</v>
      </c>
      <c r="I29" s="16">
        <f>-F29+I28</f>
        <v>-1205.5</v>
      </c>
    </row>
    <row r="30" ht="20.05" customHeight="1">
      <c r="B30" s="30"/>
      <c r="C30" s="15">
        <f>2221.2-C29-C28</f>
        <v>859.2</v>
      </c>
      <c r="D30" s="16">
        <f>161.5-D29-D28</f>
        <v>-65.5</v>
      </c>
      <c r="E30" s="16">
        <f>-63.8-E29-E28</f>
        <v>-66.8</v>
      </c>
      <c r="F30" s="16">
        <f>-31-F29-F28</f>
        <v>139</v>
      </c>
      <c r="G30" s="16">
        <f>D30+E30</f>
        <v>-132.3</v>
      </c>
      <c r="H30" s="16">
        <f>AVERAGE(G27:G30)</f>
        <v>66.675</v>
      </c>
      <c r="I30" s="16">
        <f>-F30+I29</f>
        <v>-1344.5</v>
      </c>
    </row>
    <row r="31" ht="20.05" customHeight="1">
      <c r="B31" s="30"/>
      <c r="C31" s="15"/>
      <c r="D31" s="16"/>
      <c r="E31" s="16"/>
      <c r="F31" s="16"/>
      <c r="G31" s="16"/>
      <c r="H31" s="16">
        <f>SUM('Model'!C9:F10)/4</f>
        <v>76.7702713509513</v>
      </c>
      <c r="I31" s="16">
        <f>'Model'!F32</f>
        <v>-1037.418914596190</v>
      </c>
    </row>
    <row r="32" ht="20.05" customHeight="1">
      <c r="B32" s="32">
        <v>2022</v>
      </c>
      <c r="C32" s="15"/>
      <c r="D32" s="16"/>
      <c r="E32" s="16"/>
      <c r="F32" s="16"/>
      <c r="G32" s="16"/>
      <c r="H32" s="16"/>
      <c r="I32" s="16"/>
    </row>
    <row r="33" ht="20.05" customHeight="1">
      <c r="B33" s="30"/>
      <c r="C33" s="15"/>
      <c r="D33" s="16"/>
      <c r="E33" s="16"/>
      <c r="F33" s="16"/>
      <c r="G33" s="16"/>
      <c r="H33" s="16"/>
      <c r="I33" s="16"/>
    </row>
    <row r="34" ht="20.05" customHeight="1">
      <c r="B34" s="30"/>
      <c r="C34" s="15"/>
      <c r="D34" s="16"/>
      <c r="E34" s="16"/>
      <c r="F34" s="16"/>
      <c r="G34" s="16"/>
      <c r="H34" s="16"/>
      <c r="I34" s="16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7188" style="34" customWidth="1"/>
    <col min="2" max="2" width="8.67188" style="34" customWidth="1"/>
    <col min="3" max="5" width="13.0938" style="34" customWidth="1"/>
    <col min="6" max="11" width="9.73438" style="34" customWidth="1"/>
    <col min="12" max="16384" width="16.3516" style="34" customWidth="1"/>
  </cols>
  <sheetData>
    <row r="1" ht="46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4">
        <v>1</v>
      </c>
      <c r="C3" t="s" s="4">
        <v>48</v>
      </c>
      <c r="D3" t="s" s="4">
        <v>49</v>
      </c>
      <c r="E3" t="s" s="4">
        <v>21</v>
      </c>
      <c r="F3" t="s" s="4">
        <v>22</v>
      </c>
      <c r="G3" t="s" s="4">
        <v>11</v>
      </c>
      <c r="H3" t="s" s="4">
        <v>50</v>
      </c>
      <c r="I3" t="s" s="4">
        <v>24</v>
      </c>
      <c r="J3" t="s" s="4">
        <v>51</v>
      </c>
      <c r="K3" t="s" s="4">
        <v>32</v>
      </c>
    </row>
    <row r="4" ht="20" customHeight="1">
      <c r="B4" s="26">
        <v>2015</v>
      </c>
      <c r="C4" s="27">
        <v>111</v>
      </c>
      <c r="D4" s="28">
        <v>16486</v>
      </c>
      <c r="E4" s="28">
        <f>D4-C4</f>
        <v>16375</v>
      </c>
      <c r="F4" s="28"/>
      <c r="G4" s="28">
        <v>9599</v>
      </c>
      <c r="H4" s="28">
        <v>6887</v>
      </c>
      <c r="I4" s="28">
        <f>G4+H4-C4-E4</f>
        <v>0</v>
      </c>
      <c r="J4" s="28">
        <f>C4-G4</f>
        <v>-9488</v>
      </c>
      <c r="K4" s="28"/>
    </row>
    <row r="5" ht="20" customHeight="1">
      <c r="B5" s="30"/>
      <c r="C5" s="15">
        <v>162</v>
      </c>
      <c r="D5" s="16">
        <v>16545</v>
      </c>
      <c r="E5" s="16">
        <f>D5-C5</f>
        <v>16383</v>
      </c>
      <c r="F5" s="16"/>
      <c r="G5" s="16">
        <v>9670</v>
      </c>
      <c r="H5" s="16">
        <v>6875</v>
      </c>
      <c r="I5" s="16">
        <f>G5+H5-C5-E5</f>
        <v>0</v>
      </c>
      <c r="J5" s="16">
        <f>C5-G5</f>
        <v>-9508</v>
      </c>
      <c r="K5" s="16"/>
    </row>
    <row r="6" ht="20" customHeight="1">
      <c r="B6" s="30"/>
      <c r="C6" s="15">
        <v>131</v>
      </c>
      <c r="D6" s="16">
        <v>16636</v>
      </c>
      <c r="E6" s="16">
        <f>D6-C6</f>
        <v>16505</v>
      </c>
      <c r="F6" s="16"/>
      <c r="G6" s="16">
        <v>9945</v>
      </c>
      <c r="H6" s="16">
        <v>6691</v>
      </c>
      <c r="I6" s="16">
        <f>G6+H6-C6-E6</f>
        <v>0</v>
      </c>
      <c r="J6" s="16">
        <f>C6-G6</f>
        <v>-9814</v>
      </c>
      <c r="K6" s="16"/>
    </row>
    <row r="7" ht="20" customHeight="1">
      <c r="B7" s="30"/>
      <c r="C7" s="15">
        <v>1251</v>
      </c>
      <c r="D7" s="16">
        <v>17658</v>
      </c>
      <c r="E7" s="16">
        <f>D7-C7</f>
        <v>16407</v>
      </c>
      <c r="F7" s="16"/>
      <c r="G7" s="16">
        <v>11006</v>
      </c>
      <c r="H7" s="16">
        <v>6653</v>
      </c>
      <c r="I7" s="16">
        <f>G7+H7-C7-E7</f>
        <v>1</v>
      </c>
      <c r="J7" s="16">
        <f>C7-G7</f>
        <v>-9755</v>
      </c>
      <c r="K7" s="16"/>
    </row>
    <row r="8" ht="20" customHeight="1">
      <c r="B8" s="32">
        <v>2016</v>
      </c>
      <c r="C8" s="15">
        <v>85</v>
      </c>
      <c r="D8" s="16">
        <v>16436</v>
      </c>
      <c r="E8" s="16">
        <f>D8-C8</f>
        <v>16351</v>
      </c>
      <c r="F8" s="16"/>
      <c r="G8" s="16">
        <v>9851</v>
      </c>
      <c r="H8" s="16">
        <v>6585</v>
      </c>
      <c r="I8" s="16">
        <f>G8+H8-C8-E8</f>
        <v>0</v>
      </c>
      <c r="J8" s="16">
        <f>C8-G8</f>
        <v>-9766</v>
      </c>
      <c r="K8" s="16"/>
    </row>
    <row r="9" ht="20" customHeight="1">
      <c r="B9" s="30"/>
      <c r="C9" s="15">
        <v>66</v>
      </c>
      <c r="D9" s="16">
        <v>16364</v>
      </c>
      <c r="E9" s="16">
        <f>D9-C9</f>
        <v>16298</v>
      </c>
      <c r="F9" s="16"/>
      <c r="G9" s="16">
        <v>9919</v>
      </c>
      <c r="H9" s="16">
        <v>6445</v>
      </c>
      <c r="I9" s="16">
        <f>G9+H9-C9-E9</f>
        <v>0</v>
      </c>
      <c r="J9" s="16">
        <f>C9-G9</f>
        <v>-9853</v>
      </c>
      <c r="K9" s="16"/>
    </row>
    <row r="10" ht="20" customHeight="1">
      <c r="B10" s="30"/>
      <c r="C10" s="15">
        <v>472</v>
      </c>
      <c r="D10" s="16">
        <v>16809</v>
      </c>
      <c r="E10" s="16">
        <f>D10-C10</f>
        <v>16337</v>
      </c>
      <c r="F10" s="16"/>
      <c r="G10" s="16">
        <v>10460</v>
      </c>
      <c r="H10" s="16">
        <v>6349</v>
      </c>
      <c r="I10" s="16">
        <f>G10+H10-C10-E10</f>
        <v>0</v>
      </c>
      <c r="J10" s="16">
        <f>C10-G10</f>
        <v>-9988</v>
      </c>
      <c r="K10" s="16"/>
    </row>
    <row r="11" ht="20" customHeight="1">
      <c r="B11" s="30"/>
      <c r="C11" s="15">
        <v>129</v>
      </c>
      <c r="D11" s="16">
        <v>16254</v>
      </c>
      <c r="E11" s="16">
        <f>D11-C11</f>
        <v>16125</v>
      </c>
      <c r="F11" s="16"/>
      <c r="G11" s="16">
        <v>9995</v>
      </c>
      <c r="H11" s="16">
        <v>6259</v>
      </c>
      <c r="I11" s="16">
        <f>G11+H11-C11-E11</f>
        <v>0</v>
      </c>
      <c r="J11" s="16">
        <f>C11-G11</f>
        <v>-9866</v>
      </c>
      <c r="K11" s="16"/>
    </row>
    <row r="12" ht="20" customHeight="1">
      <c r="B12" s="32">
        <v>2017</v>
      </c>
      <c r="C12" s="15">
        <v>74</v>
      </c>
      <c r="D12" s="16">
        <v>15983</v>
      </c>
      <c r="E12" s="16">
        <f>D12-C12</f>
        <v>15909</v>
      </c>
      <c r="F12" s="16"/>
      <c r="G12" s="16">
        <v>9742</v>
      </c>
      <c r="H12" s="16">
        <v>6241</v>
      </c>
      <c r="I12" s="16">
        <f>G12+H12-C12-E12</f>
        <v>0</v>
      </c>
      <c r="J12" s="16">
        <f>C12-G12</f>
        <v>-9668</v>
      </c>
      <c r="K12" s="16"/>
    </row>
    <row r="13" ht="20" customHeight="1">
      <c r="B13" s="30"/>
      <c r="C13" s="15">
        <v>48</v>
      </c>
      <c r="D13" s="16">
        <v>15764</v>
      </c>
      <c r="E13" s="16">
        <f>D13-C13</f>
        <v>15716</v>
      </c>
      <c r="F13" s="16">
        <v>2</v>
      </c>
      <c r="G13" s="16">
        <v>9633</v>
      </c>
      <c r="H13" s="16">
        <v>6131</v>
      </c>
      <c r="I13" s="16">
        <f>G13+H13-C13-E13</f>
        <v>0</v>
      </c>
      <c r="J13" s="16">
        <f>C13-G13</f>
        <v>-9585</v>
      </c>
      <c r="K13" s="16"/>
    </row>
    <row r="14" ht="20" customHeight="1">
      <c r="B14" s="30"/>
      <c r="C14" s="15">
        <v>51</v>
      </c>
      <c r="D14" s="16">
        <v>15855</v>
      </c>
      <c r="E14" s="16">
        <f>D14-C14</f>
        <v>15804</v>
      </c>
      <c r="F14" s="16">
        <v>2876</v>
      </c>
      <c r="G14" s="16">
        <v>9809</v>
      </c>
      <c r="H14" s="16">
        <v>6044</v>
      </c>
      <c r="I14" s="16">
        <f>G14+H14-C14-E14</f>
        <v>-2</v>
      </c>
      <c r="J14" s="16">
        <f>C14-G14</f>
        <v>-9758</v>
      </c>
      <c r="K14" s="16"/>
    </row>
    <row r="15" ht="20" customHeight="1">
      <c r="B15" s="30"/>
      <c r="C15" s="15">
        <v>85</v>
      </c>
      <c r="D15" s="16">
        <v>16186</v>
      </c>
      <c r="E15" s="16">
        <f>D15-C15</f>
        <v>16101</v>
      </c>
      <c r="F15" s="16">
        <v>3021</v>
      </c>
      <c r="G15" s="16">
        <v>9928</v>
      </c>
      <c r="H15" s="16">
        <v>6258</v>
      </c>
      <c r="I15" s="16">
        <f>G15+H15-C15-E15</f>
        <v>0</v>
      </c>
      <c r="J15" s="16">
        <f>C15-G15</f>
        <v>-9843</v>
      </c>
      <c r="K15" s="16"/>
    </row>
    <row r="16" ht="20" customHeight="1">
      <c r="B16" s="32">
        <v>2018</v>
      </c>
      <c r="C16" s="15">
        <v>70</v>
      </c>
      <c r="D16" s="16">
        <v>16369</v>
      </c>
      <c r="E16" s="16">
        <f>D16-C16</f>
        <v>16299</v>
      </c>
      <c r="F16" s="16">
        <v>3171</v>
      </c>
      <c r="G16" s="16">
        <v>10188</v>
      </c>
      <c r="H16" s="16">
        <v>6181</v>
      </c>
      <c r="I16" s="16">
        <f>G16+H16-C16-E16</f>
        <v>0</v>
      </c>
      <c r="J16" s="16">
        <f>C16-G16</f>
        <v>-10118</v>
      </c>
      <c r="K16" s="16"/>
    </row>
    <row r="17" ht="20" customHeight="1">
      <c r="B17" s="30"/>
      <c r="C17" s="15">
        <v>146</v>
      </c>
      <c r="D17" s="16">
        <v>16767</v>
      </c>
      <c r="E17" s="16">
        <f>D17-C17</f>
        <v>16621</v>
      </c>
      <c r="F17" s="16">
        <v>3330</v>
      </c>
      <c r="G17" s="16">
        <v>10508</v>
      </c>
      <c r="H17" s="16">
        <v>6260</v>
      </c>
      <c r="I17" s="16">
        <f>G17+H17-C17-E17</f>
        <v>1</v>
      </c>
      <c r="J17" s="16">
        <f>C17-G17</f>
        <v>-10362</v>
      </c>
      <c r="K17" s="16"/>
    </row>
    <row r="18" ht="20" customHeight="1">
      <c r="B18" s="30"/>
      <c r="C18" s="15">
        <v>21</v>
      </c>
      <c r="D18" s="16">
        <v>16315</v>
      </c>
      <c r="E18" s="16">
        <f>D18-C18</f>
        <v>16294</v>
      </c>
      <c r="F18" s="16">
        <v>3473</v>
      </c>
      <c r="G18" s="16">
        <v>10340</v>
      </c>
      <c r="H18" s="16">
        <v>5975</v>
      </c>
      <c r="I18" s="16">
        <f>G18+H18-C18-E18</f>
        <v>0</v>
      </c>
      <c r="J18" s="16">
        <f>C18-G18</f>
        <v>-10319</v>
      </c>
      <c r="K18" s="16"/>
    </row>
    <row r="19" ht="20" customHeight="1">
      <c r="B19" s="30"/>
      <c r="C19" s="15">
        <v>21.5</v>
      </c>
      <c r="D19" s="16">
        <v>16163</v>
      </c>
      <c r="E19" s="16">
        <f>D19-C19</f>
        <v>16141.5</v>
      </c>
      <c r="F19" s="16">
        <v>3625</v>
      </c>
      <c r="G19" s="16">
        <v>10364</v>
      </c>
      <c r="H19" s="16">
        <v>5799</v>
      </c>
      <c r="I19" s="16">
        <f>G19+H19-C19-E19</f>
        <v>0</v>
      </c>
      <c r="J19" s="16">
        <f>C19-G19</f>
        <v>-10342.5</v>
      </c>
      <c r="K19" s="16"/>
    </row>
    <row r="20" ht="20" customHeight="1">
      <c r="B20" s="32">
        <v>2019</v>
      </c>
      <c r="C20" s="15">
        <v>146</v>
      </c>
      <c r="D20" s="16">
        <v>16204.1</v>
      </c>
      <c r="E20" s="16">
        <f>D20-C20</f>
        <v>16058.1</v>
      </c>
      <c r="F20" s="16">
        <v>3792</v>
      </c>
      <c r="G20" s="16">
        <v>10665</v>
      </c>
      <c r="H20" s="16">
        <v>5539</v>
      </c>
      <c r="I20" s="16">
        <f>G20+H20-C20-E20</f>
        <v>-0.1</v>
      </c>
      <c r="J20" s="16">
        <f>C20-G20</f>
        <v>-10519</v>
      </c>
      <c r="K20" s="16"/>
    </row>
    <row r="21" ht="20" customHeight="1">
      <c r="B21" s="30"/>
      <c r="C21" s="15">
        <v>392</v>
      </c>
      <c r="D21" s="16">
        <v>16452</v>
      </c>
      <c r="E21" s="16">
        <f>D21-C21</f>
        <v>16060</v>
      </c>
      <c r="F21" s="16">
        <f>2772+1140</f>
        <v>3912</v>
      </c>
      <c r="G21" s="16">
        <v>11147</v>
      </c>
      <c r="H21" s="16">
        <v>5305</v>
      </c>
      <c r="I21" s="16">
        <f>G21+H21-C21-E21</f>
        <v>0</v>
      </c>
      <c r="J21" s="16">
        <f>C21-G21</f>
        <v>-10755</v>
      </c>
      <c r="K21" s="16"/>
    </row>
    <row r="22" ht="20" customHeight="1">
      <c r="B22" s="30"/>
      <c r="C22" s="15">
        <v>27</v>
      </c>
      <c r="D22" s="16">
        <v>16051</v>
      </c>
      <c r="E22" s="16">
        <f>D22-C22</f>
        <v>16024</v>
      </c>
      <c r="F22" s="16">
        <f>2898+1169</f>
        <v>4067</v>
      </c>
      <c r="G22" s="16">
        <v>11034</v>
      </c>
      <c r="H22" s="16">
        <v>5018</v>
      </c>
      <c r="I22" s="16">
        <f>G22+H22-C22-E22</f>
        <v>1</v>
      </c>
      <c r="J22" s="16">
        <f>C22-G22</f>
        <v>-11007</v>
      </c>
      <c r="K22" s="16"/>
    </row>
    <row r="23" ht="20" customHeight="1">
      <c r="B23" s="30"/>
      <c r="C23" s="15">
        <v>32.3</v>
      </c>
      <c r="D23" s="16">
        <v>15797</v>
      </c>
      <c r="E23" s="16">
        <f>D23-C23</f>
        <v>15764.7</v>
      </c>
      <c r="F23" s="16">
        <f>3025+1202</f>
        <v>4227</v>
      </c>
      <c r="G23" s="16">
        <v>11184</v>
      </c>
      <c r="H23" s="16">
        <v>4613</v>
      </c>
      <c r="I23" s="16">
        <f>G23+H23-C23-E23</f>
        <v>0</v>
      </c>
      <c r="J23" s="16">
        <f>C23-G23</f>
        <v>-11151.7</v>
      </c>
      <c r="K23" s="16"/>
    </row>
    <row r="24" ht="20" customHeight="1">
      <c r="B24" s="32">
        <v>2020</v>
      </c>
      <c r="C24" s="15">
        <v>56.2</v>
      </c>
      <c r="D24" s="16">
        <v>15743</v>
      </c>
      <c r="E24" s="16">
        <f>D24-C24</f>
        <v>15686.8</v>
      </c>
      <c r="F24" s="16">
        <f>1233+3157</f>
        <v>4390</v>
      </c>
      <c r="G24" s="16">
        <v>11286</v>
      </c>
      <c r="H24" s="16">
        <v>4458</v>
      </c>
      <c r="I24" s="16">
        <f>G24+H24-C24-E24</f>
        <v>1</v>
      </c>
      <c r="J24" s="16">
        <f>C24-G24</f>
        <v>-11229.8</v>
      </c>
      <c r="K24" s="16"/>
    </row>
    <row r="25" ht="20" customHeight="1">
      <c r="B25" s="30"/>
      <c r="C25" s="15">
        <v>29</v>
      </c>
      <c r="D25" s="16">
        <v>15587</v>
      </c>
      <c r="E25" s="16">
        <f>D25-C25</f>
        <v>15558</v>
      </c>
      <c r="F25" s="16">
        <f>3288+1266</f>
        <v>4554</v>
      </c>
      <c r="G25" s="16">
        <v>11411</v>
      </c>
      <c r="H25" s="16">
        <v>4176</v>
      </c>
      <c r="I25" s="16">
        <f>G25+H25-C25-E25</f>
        <v>0</v>
      </c>
      <c r="J25" s="16">
        <f>C25-G25</f>
        <v>-11382</v>
      </c>
      <c r="K25" s="16"/>
    </row>
    <row r="26" ht="20" customHeight="1">
      <c r="B26" s="30"/>
      <c r="C26" s="15">
        <v>41</v>
      </c>
      <c r="D26" s="16">
        <v>15467</v>
      </c>
      <c r="E26" s="16">
        <f>D26-C26</f>
        <v>15426</v>
      </c>
      <c r="F26" s="16">
        <f>3420+1297</f>
        <v>4717</v>
      </c>
      <c r="G26" s="16">
        <v>11626</v>
      </c>
      <c r="H26" s="16">
        <v>3841</v>
      </c>
      <c r="I26" s="16">
        <f>G26+H26-C26-E26</f>
        <v>0</v>
      </c>
      <c r="J26" s="16">
        <f>C26-G26</f>
        <v>-11585</v>
      </c>
      <c r="K26" s="16"/>
    </row>
    <row r="27" ht="20" customHeight="1">
      <c r="B27" s="30"/>
      <c r="C27" s="15">
        <v>42</v>
      </c>
      <c r="D27" s="16">
        <v>15061</v>
      </c>
      <c r="E27" s="16">
        <f>D27-C27</f>
        <v>15019</v>
      </c>
      <c r="F27" s="16">
        <f>F26+'Sales'!F27</f>
        <v>4885</v>
      </c>
      <c r="G27" s="16">
        <v>11573</v>
      </c>
      <c r="H27" s="16">
        <v>3488</v>
      </c>
      <c r="I27" s="16">
        <f>G27+H27-C27-E27</f>
        <v>0</v>
      </c>
      <c r="J27" s="16">
        <f>C27-G27</f>
        <v>-11531</v>
      </c>
      <c r="K27" s="21"/>
    </row>
    <row r="28" ht="20" customHeight="1">
      <c r="B28" s="32">
        <v>2021</v>
      </c>
      <c r="C28" s="15">
        <v>65</v>
      </c>
      <c r="D28" s="16">
        <v>12535</v>
      </c>
      <c r="E28" s="16">
        <f>D28-C28</f>
        <v>12470</v>
      </c>
      <c r="F28" s="16">
        <f>F27+'Sales'!F28</f>
        <v>5034</v>
      </c>
      <c r="G28" s="16">
        <v>10351</v>
      </c>
      <c r="H28" s="16">
        <v>2184</v>
      </c>
      <c r="I28" s="16">
        <f>G28+H28-C28-E28</f>
        <v>0</v>
      </c>
      <c r="J28" s="16">
        <f>C28-G28</f>
        <v>-10286</v>
      </c>
      <c r="K28" s="16"/>
    </row>
    <row r="29" ht="20" customHeight="1">
      <c r="B29" s="30"/>
      <c r="C29" s="15">
        <v>102</v>
      </c>
      <c r="D29" s="16">
        <v>12261</v>
      </c>
      <c r="E29" s="16">
        <f>D29-C29</f>
        <v>12159</v>
      </c>
      <c r="F29" s="16">
        <f>2862+1237</f>
        <v>4099</v>
      </c>
      <c r="G29" s="16">
        <v>10446</v>
      </c>
      <c r="H29" s="16">
        <v>1815</v>
      </c>
      <c r="I29" s="16">
        <f>G29+H29-C29-E29</f>
        <v>0</v>
      </c>
      <c r="J29" s="16">
        <f>C29-G29</f>
        <v>-10344</v>
      </c>
      <c r="K29" s="16"/>
    </row>
    <row r="30" ht="20" customHeight="1">
      <c r="B30" s="30"/>
      <c r="C30" s="15">
        <v>98.2</v>
      </c>
      <c r="D30" s="16">
        <v>12331.8</v>
      </c>
      <c r="E30" s="16">
        <f>D30-C30</f>
        <v>12233.6</v>
      </c>
      <c r="F30" s="16">
        <f>2954+1264</f>
        <v>4218</v>
      </c>
      <c r="G30" s="16">
        <v>10597.5</v>
      </c>
      <c r="H30" s="16">
        <v>1734.2</v>
      </c>
      <c r="I30" s="16">
        <f>G30+H30-C30-E30</f>
        <v>-0.1</v>
      </c>
      <c r="J30" s="16">
        <f>C30-G30</f>
        <v>-10499.3</v>
      </c>
      <c r="K30" s="16">
        <f>J30</f>
        <v>-10499.3</v>
      </c>
    </row>
    <row r="31" ht="20" customHeight="1">
      <c r="B31" s="30"/>
      <c r="C31" s="15"/>
      <c r="D31" s="16"/>
      <c r="E31" s="16"/>
      <c r="F31" s="16"/>
      <c r="G31" s="16"/>
      <c r="H31" s="16"/>
      <c r="I31" s="16"/>
      <c r="J31" s="16"/>
      <c r="K31" s="16">
        <f>'Model'!F30</f>
        <v>-10192.2189145962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625" style="35" customWidth="1"/>
    <col min="2" max="2" width="6.86719" style="35" customWidth="1"/>
    <col min="3" max="4" width="8.32031" style="35" customWidth="1"/>
    <col min="5" max="16384" width="16.3516" style="35" customWidth="1"/>
  </cols>
  <sheetData>
    <row r="1" ht="28.8" customHeight="1"/>
    <row r="2" ht="27.65" customHeight="1">
      <c r="B2" t="s" s="2">
        <v>52</v>
      </c>
      <c r="C2" s="2"/>
      <c r="D2" s="2"/>
    </row>
    <row r="3" ht="20.25" customHeight="1">
      <c r="B3" s="5"/>
      <c r="C3" t="s" s="25">
        <v>53</v>
      </c>
      <c r="D3" t="s" s="25">
        <v>35</v>
      </c>
    </row>
    <row r="4" ht="20.25" customHeight="1">
      <c r="B4" s="26">
        <v>2014</v>
      </c>
      <c r="C4" s="36">
        <v>1047</v>
      </c>
      <c r="D4" s="37"/>
    </row>
    <row r="5" ht="20.05" customHeight="1">
      <c r="B5" s="30"/>
      <c r="C5" s="17">
        <v>1135</v>
      </c>
      <c r="D5" s="18"/>
    </row>
    <row r="6" ht="20.05" customHeight="1">
      <c r="B6" s="30"/>
      <c r="C6" s="17">
        <v>1093</v>
      </c>
      <c r="D6" s="18"/>
    </row>
    <row r="7" ht="20.05" customHeight="1">
      <c r="B7" s="30"/>
      <c r="C7" s="17">
        <v>1168</v>
      </c>
      <c r="D7" s="18"/>
    </row>
    <row r="8" ht="20.05" customHeight="1">
      <c r="B8" s="30"/>
      <c r="C8" s="17">
        <v>1072</v>
      </c>
      <c r="D8" s="18"/>
    </row>
    <row r="9" ht="20.05" customHeight="1">
      <c r="B9" s="30"/>
      <c r="C9" s="17">
        <v>1023</v>
      </c>
      <c r="D9" s="18"/>
    </row>
    <row r="10" ht="20.05" customHeight="1">
      <c r="B10" s="30"/>
      <c r="C10" s="17">
        <v>960</v>
      </c>
      <c r="D10" s="18"/>
    </row>
    <row r="11" ht="20.05" customHeight="1">
      <c r="B11" s="30"/>
      <c r="C11" s="17">
        <v>856</v>
      </c>
      <c r="D11" s="18"/>
    </row>
    <row r="12" ht="20.05" customHeight="1">
      <c r="B12" s="30"/>
      <c r="C12" s="17">
        <v>461</v>
      </c>
      <c r="D12" s="18"/>
    </row>
    <row r="13" ht="20.05" customHeight="1">
      <c r="B13" s="30"/>
      <c r="C13" s="17">
        <v>453</v>
      </c>
      <c r="D13" s="18"/>
    </row>
    <row r="14" ht="20.05" customHeight="1">
      <c r="B14" s="30"/>
      <c r="C14" s="17">
        <v>382</v>
      </c>
      <c r="D14" s="18"/>
    </row>
    <row r="15" ht="20.05" customHeight="1">
      <c r="B15" s="30"/>
      <c r="C15" s="17">
        <v>400</v>
      </c>
      <c r="D15" s="18"/>
    </row>
    <row r="16" ht="20.05" customHeight="1">
      <c r="B16" s="32">
        <v>2015</v>
      </c>
      <c r="C16" s="17">
        <v>400</v>
      </c>
      <c r="D16" s="18"/>
    </row>
    <row r="17" ht="20.05" customHeight="1">
      <c r="B17" s="30"/>
      <c r="C17" s="17">
        <v>366</v>
      </c>
      <c r="D17" s="18"/>
    </row>
    <row r="18" ht="20.05" customHeight="1">
      <c r="B18" s="30"/>
      <c r="C18" s="17">
        <v>338</v>
      </c>
      <c r="D18" s="18"/>
    </row>
    <row r="19" ht="20.05" customHeight="1">
      <c r="B19" s="30"/>
      <c r="C19" s="17">
        <v>252</v>
      </c>
      <c r="D19" s="18"/>
    </row>
    <row r="20" ht="20.05" customHeight="1">
      <c r="B20" s="30"/>
      <c r="C20" s="17">
        <v>401</v>
      </c>
      <c r="D20" s="18"/>
    </row>
    <row r="21" ht="20.05" customHeight="1">
      <c r="B21" s="30"/>
      <c r="C21" s="17">
        <v>411</v>
      </c>
      <c r="D21" s="18"/>
    </row>
    <row r="22" ht="20.05" customHeight="1">
      <c r="B22" s="30"/>
      <c r="C22" s="17">
        <v>390</v>
      </c>
      <c r="D22" s="18"/>
    </row>
    <row r="23" ht="20.05" customHeight="1">
      <c r="B23" s="30"/>
      <c r="C23" s="17">
        <v>258</v>
      </c>
      <c r="D23" s="18"/>
    </row>
    <row r="24" ht="20.05" customHeight="1">
      <c r="B24" s="30"/>
      <c r="C24" s="17">
        <v>202</v>
      </c>
      <c r="D24" s="18"/>
    </row>
    <row r="25" ht="20.05" customHeight="1">
      <c r="B25" s="30"/>
      <c r="C25" s="17">
        <v>235</v>
      </c>
      <c r="D25" s="18"/>
    </row>
    <row r="26" ht="20.05" customHeight="1">
      <c r="B26" s="30"/>
      <c r="C26" s="17">
        <v>141</v>
      </c>
      <c r="D26" s="18"/>
    </row>
    <row r="27" ht="20.05" customHeight="1">
      <c r="B27" s="30"/>
      <c r="C27" s="17">
        <v>138</v>
      </c>
      <c r="D27" s="18"/>
    </row>
    <row r="28" ht="20.05" customHeight="1">
      <c r="B28" s="32">
        <v>2016</v>
      </c>
      <c r="C28" s="17">
        <v>173</v>
      </c>
      <c r="D28" s="18"/>
    </row>
    <row r="29" ht="20.05" customHeight="1">
      <c r="B29" s="30"/>
      <c r="C29" s="17">
        <v>228</v>
      </c>
      <c r="D29" s="18"/>
    </row>
    <row r="30" ht="20.05" customHeight="1">
      <c r="B30" s="30"/>
      <c r="C30" s="17">
        <v>289</v>
      </c>
      <c r="D30" s="18"/>
    </row>
    <row r="31" ht="20.05" customHeight="1">
      <c r="B31" s="30"/>
      <c r="C31" s="17">
        <v>284</v>
      </c>
      <c r="D31" s="18"/>
    </row>
    <row r="32" ht="20.05" customHeight="1">
      <c r="B32" s="30"/>
      <c r="C32" s="17">
        <v>238</v>
      </c>
      <c r="D32" s="18"/>
    </row>
    <row r="33" ht="20.05" customHeight="1">
      <c r="B33" s="30"/>
      <c r="C33" s="17">
        <v>212</v>
      </c>
      <c r="D33" s="18"/>
    </row>
    <row r="34" ht="20.05" customHeight="1">
      <c r="B34" s="30"/>
      <c r="C34" s="17">
        <v>234</v>
      </c>
      <c r="D34" s="18"/>
    </row>
    <row r="35" ht="20.05" customHeight="1">
      <c r="B35" s="30"/>
      <c r="C35" s="17">
        <v>210</v>
      </c>
      <c r="D35" s="18"/>
    </row>
    <row r="36" ht="20.05" customHeight="1">
      <c r="B36" s="30"/>
      <c r="C36" s="17">
        <v>189</v>
      </c>
      <c r="D36" s="18"/>
    </row>
    <row r="37" ht="20.05" customHeight="1">
      <c r="B37" s="30"/>
      <c r="C37" s="17">
        <v>191</v>
      </c>
      <c r="D37" s="18"/>
    </row>
    <row r="38" ht="20.05" customHeight="1">
      <c r="B38" s="30"/>
      <c r="C38" s="17">
        <v>206</v>
      </c>
      <c r="D38" s="18"/>
    </row>
    <row r="39" ht="20.05" customHeight="1">
      <c r="B39" s="30"/>
      <c r="C39" s="17">
        <v>274</v>
      </c>
      <c r="D39" s="18"/>
    </row>
    <row r="40" ht="20.05" customHeight="1">
      <c r="B40" s="32">
        <v>2017</v>
      </c>
      <c r="C40" s="17">
        <v>348</v>
      </c>
      <c r="D40" s="18"/>
    </row>
    <row r="41" ht="20.05" customHeight="1">
      <c r="B41" s="30"/>
      <c r="C41" s="17">
        <v>370</v>
      </c>
      <c r="D41" s="18"/>
    </row>
    <row r="42" ht="20.05" customHeight="1">
      <c r="B42" s="30"/>
      <c r="C42" s="17">
        <v>338</v>
      </c>
      <c r="D42" s="18"/>
    </row>
    <row r="43" ht="20.05" customHeight="1">
      <c r="B43" s="30"/>
      <c r="C43" s="17">
        <v>314</v>
      </c>
      <c r="D43" s="18"/>
    </row>
    <row r="44" ht="20.05" customHeight="1">
      <c r="B44" s="30"/>
      <c r="C44" s="17">
        <v>274</v>
      </c>
      <c r="D44" s="18"/>
    </row>
    <row r="45" ht="20.05" customHeight="1">
      <c r="B45" s="30"/>
      <c r="C45" s="17">
        <v>244</v>
      </c>
      <c r="D45" s="18"/>
    </row>
    <row r="46" ht="20.05" customHeight="1">
      <c r="B46" s="30"/>
      <c r="C46" s="17">
        <v>218</v>
      </c>
      <c r="D46" s="18"/>
    </row>
    <row r="47" ht="20.05" customHeight="1">
      <c r="B47" s="30"/>
      <c r="C47" s="17">
        <v>214</v>
      </c>
      <c r="D47" s="18"/>
    </row>
    <row r="48" ht="20.05" customHeight="1">
      <c r="B48" s="30"/>
      <c r="C48" s="17">
        <v>258</v>
      </c>
      <c r="D48" s="18"/>
    </row>
    <row r="49" ht="20.05" customHeight="1">
      <c r="B49" s="30"/>
      <c r="C49" s="17">
        <v>244</v>
      </c>
      <c r="D49" s="18"/>
    </row>
    <row r="50" ht="20.05" customHeight="1">
      <c r="B50" s="30"/>
      <c r="C50" s="17">
        <v>222</v>
      </c>
      <c r="D50" s="18"/>
    </row>
    <row r="51" ht="20.05" customHeight="1">
      <c r="B51" s="30"/>
      <c r="C51" s="17">
        <v>183</v>
      </c>
      <c r="D51" s="18"/>
    </row>
    <row r="52" ht="20.05" customHeight="1">
      <c r="B52" s="32">
        <v>2018</v>
      </c>
      <c r="C52" s="17">
        <v>226</v>
      </c>
      <c r="D52" s="18"/>
    </row>
    <row r="53" ht="20.05" customHeight="1">
      <c r="B53" s="30"/>
      <c r="C53" s="17">
        <v>232</v>
      </c>
      <c r="D53" s="18"/>
    </row>
    <row r="54" ht="20.05" customHeight="1">
      <c r="B54" s="30"/>
      <c r="C54" s="17">
        <v>216</v>
      </c>
      <c r="D54" s="18"/>
    </row>
    <row r="55" ht="20.05" customHeight="1">
      <c r="B55" s="30"/>
      <c r="C55" s="17">
        <v>250</v>
      </c>
      <c r="D55" s="18"/>
    </row>
    <row r="56" ht="20.05" customHeight="1">
      <c r="B56" s="30"/>
      <c r="C56" s="17">
        <v>187</v>
      </c>
      <c r="D56" s="18"/>
    </row>
    <row r="57" ht="20.05" customHeight="1">
      <c r="B57" s="30"/>
      <c r="C57" s="17">
        <v>179</v>
      </c>
      <c r="D57" s="18"/>
    </row>
    <row r="58" ht="20.05" customHeight="1">
      <c r="B58" s="30"/>
      <c r="C58" s="17">
        <v>204</v>
      </c>
      <c r="D58" s="18"/>
    </row>
    <row r="59" ht="20.05" customHeight="1">
      <c r="B59" s="30"/>
      <c r="C59" s="17">
        <v>220</v>
      </c>
      <c r="D59" s="18"/>
    </row>
    <row r="60" ht="20.05" customHeight="1">
      <c r="B60" s="30"/>
      <c r="C60" s="17">
        <v>202</v>
      </c>
      <c r="D60" s="18"/>
    </row>
    <row r="61" ht="20.05" customHeight="1">
      <c r="B61" s="30"/>
      <c r="C61" s="17">
        <v>175</v>
      </c>
      <c r="D61" s="18"/>
    </row>
    <row r="62" ht="20.05" customHeight="1">
      <c r="B62" s="30"/>
      <c r="C62" s="17">
        <v>163</v>
      </c>
      <c r="D62" s="18"/>
    </row>
    <row r="63" ht="20.05" customHeight="1">
      <c r="B63" s="30"/>
      <c r="C63" s="17">
        <v>164</v>
      </c>
      <c r="D63" s="18"/>
    </row>
    <row r="64" ht="20.05" customHeight="1">
      <c r="B64" s="32">
        <v>2019</v>
      </c>
      <c r="C64" s="17">
        <v>200</v>
      </c>
      <c r="D64" s="18"/>
    </row>
    <row r="65" ht="20.05" customHeight="1">
      <c r="B65" s="30"/>
      <c r="C65" s="17">
        <v>167</v>
      </c>
      <c r="D65" s="18"/>
    </row>
    <row r="66" ht="20.05" customHeight="1">
      <c r="B66" s="30"/>
      <c r="C66" s="17">
        <v>158</v>
      </c>
      <c r="D66" s="18"/>
    </row>
    <row r="67" ht="20.05" customHeight="1">
      <c r="B67" s="30"/>
      <c r="C67" s="17">
        <v>160</v>
      </c>
      <c r="D67" s="18"/>
    </row>
    <row r="68" ht="20.05" customHeight="1">
      <c r="B68" s="30"/>
      <c r="C68" s="17">
        <v>153</v>
      </c>
      <c r="D68" s="18"/>
    </row>
    <row r="69" ht="20.05" customHeight="1">
      <c r="B69" s="30"/>
      <c r="C69" s="17">
        <v>162</v>
      </c>
      <c r="D69" s="18"/>
    </row>
    <row r="70" ht="20.05" customHeight="1">
      <c r="B70" s="30"/>
      <c r="C70" s="17">
        <v>143</v>
      </c>
      <c r="D70" s="18"/>
    </row>
    <row r="71" ht="20.05" customHeight="1">
      <c r="B71" s="30"/>
      <c r="C71" s="17">
        <v>130</v>
      </c>
      <c r="D71" s="18"/>
    </row>
    <row r="72" ht="20.05" customHeight="1">
      <c r="B72" s="30"/>
      <c r="C72" s="17">
        <v>142</v>
      </c>
      <c r="D72" s="18"/>
    </row>
    <row r="73" ht="20.05" customHeight="1">
      <c r="B73" s="30"/>
      <c r="C73" s="17">
        <v>122</v>
      </c>
      <c r="D73" s="18"/>
    </row>
    <row r="74" ht="20.05" customHeight="1">
      <c r="B74" s="30"/>
      <c r="C74" s="17">
        <v>95</v>
      </c>
      <c r="D74" s="18"/>
    </row>
    <row r="75" ht="20.05" customHeight="1">
      <c r="B75" s="30"/>
      <c r="C75" s="17">
        <v>157</v>
      </c>
      <c r="D75" s="18"/>
    </row>
    <row r="76" ht="20.05" customHeight="1">
      <c r="B76" s="32">
        <v>2020</v>
      </c>
      <c r="C76" s="17">
        <v>115</v>
      </c>
      <c r="D76" s="18"/>
    </row>
    <row r="77" ht="20.05" customHeight="1">
      <c r="B77" s="30"/>
      <c r="C77" s="17">
        <v>86</v>
      </c>
      <c r="D77" s="18"/>
    </row>
    <row r="78" ht="20.05" customHeight="1">
      <c r="B78" s="30"/>
      <c r="C78" s="17">
        <v>71</v>
      </c>
      <c r="D78" s="18"/>
    </row>
    <row r="79" ht="20.05" customHeight="1">
      <c r="B79" s="30"/>
      <c r="C79" s="17">
        <v>80</v>
      </c>
      <c r="D79" s="18"/>
    </row>
    <row r="80" ht="20.05" customHeight="1">
      <c r="B80" s="30"/>
      <c r="C80" s="17">
        <v>77</v>
      </c>
      <c r="D80" s="18"/>
    </row>
    <row r="81" ht="20.05" customHeight="1">
      <c r="B81" s="30"/>
      <c r="C81" s="17">
        <v>89</v>
      </c>
      <c r="D81" s="18"/>
    </row>
    <row r="82" ht="20.05" customHeight="1">
      <c r="B82" s="30"/>
      <c r="C82" s="17">
        <v>119</v>
      </c>
      <c r="D82" s="18"/>
    </row>
    <row r="83" ht="20.05" customHeight="1">
      <c r="B83" s="30"/>
      <c r="C83" s="17">
        <v>110</v>
      </c>
      <c r="D83" s="18"/>
    </row>
    <row r="84" ht="20.05" customHeight="1">
      <c r="B84" s="30"/>
      <c r="C84" s="15">
        <v>90</v>
      </c>
      <c r="D84" s="31"/>
    </row>
    <row r="85" ht="20.05" customHeight="1">
      <c r="B85" s="30"/>
      <c r="C85" s="15">
        <v>96</v>
      </c>
      <c r="D85" s="31"/>
    </row>
    <row r="86" ht="20.05" customHeight="1">
      <c r="B86" s="30"/>
      <c r="C86" s="15">
        <v>125</v>
      </c>
      <c r="D86" s="31"/>
    </row>
    <row r="87" ht="20.05" customHeight="1">
      <c r="B87" s="30"/>
      <c r="C87" s="15">
        <v>144</v>
      </c>
      <c r="D87" s="31"/>
    </row>
    <row r="88" ht="20.05" customHeight="1">
      <c r="B88" s="32">
        <v>2021</v>
      </c>
      <c r="C88" s="15">
        <v>113</v>
      </c>
      <c r="D88" s="31"/>
    </row>
    <row r="89" ht="20.05" customHeight="1">
      <c r="B89" s="30"/>
      <c r="C89" s="15">
        <v>118</v>
      </c>
      <c r="D89" s="21">
        <v>302.813117063492</v>
      </c>
    </row>
    <row r="90" ht="20.05" customHeight="1">
      <c r="B90" s="30"/>
      <c r="C90" s="15">
        <v>111</v>
      </c>
      <c r="D90" s="21">
        <v>302.813117063492</v>
      </c>
    </row>
    <row r="91" ht="20.05" customHeight="1">
      <c r="B91" s="30"/>
      <c r="C91" s="15">
        <v>115</v>
      </c>
      <c r="D91" s="21">
        <v>302.813117063492</v>
      </c>
    </row>
    <row r="92" ht="20.05" customHeight="1">
      <c r="B92" s="30"/>
      <c r="C92" s="15">
        <v>104</v>
      </c>
      <c r="D92" s="21">
        <v>302.332403769841</v>
      </c>
    </row>
    <row r="93" ht="20.05" customHeight="1">
      <c r="B93" s="30"/>
      <c r="C93" s="15">
        <v>88</v>
      </c>
      <c r="D93" s="21">
        <v>302.332403769841</v>
      </c>
    </row>
    <row r="94" ht="20.05" customHeight="1">
      <c r="B94" s="30"/>
      <c r="C94" s="15">
        <v>87</v>
      </c>
      <c r="D94" s="21">
        <v>302.332403769841</v>
      </c>
    </row>
    <row r="95" ht="20.05" customHeight="1">
      <c r="B95" s="30"/>
      <c r="C95" s="15">
        <v>82</v>
      </c>
      <c r="D95" s="31"/>
    </row>
    <row r="96" ht="20.05" customHeight="1">
      <c r="B96" s="30"/>
      <c r="C96" s="15">
        <v>91</v>
      </c>
      <c r="D96" s="31"/>
    </row>
    <row r="97" ht="20.05" customHeight="1">
      <c r="B97" s="30"/>
      <c r="C97" s="15">
        <v>89</v>
      </c>
      <c r="D97" s="31"/>
    </row>
    <row r="98" ht="20.05" customHeight="1">
      <c r="B98" s="30"/>
      <c r="C98" s="15">
        <v>90</v>
      </c>
      <c r="D98" s="21">
        <f>C98</f>
        <v>90</v>
      </c>
    </row>
    <row r="99" ht="20.05" customHeight="1">
      <c r="B99" s="30"/>
      <c r="C99" s="15"/>
      <c r="D99" s="21">
        <f>'Model'!F42</f>
        <v>175.351201393784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