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<sst xmlns="http://schemas.openxmlformats.org/spreadsheetml/2006/main" uniqueCount="59">
  <si>
    <t>Financial model</t>
  </si>
  <si>
    <t>Rpbn</t>
  </si>
  <si>
    <t>4Q 2021</t>
  </si>
  <si>
    <t>Cashflow</t>
  </si>
  <si>
    <t>Growth</t>
  </si>
  <si>
    <t>Sales</t>
  </si>
  <si>
    <t>Cost ratio</t>
  </si>
  <si>
    <t>Cash costs</t>
  </si>
  <si>
    <t>Operating</t>
  </si>
  <si>
    <t>Investment</t>
  </si>
  <si>
    <t xml:space="preserve">Liabilities </t>
  </si>
  <si>
    <t>Equity</t>
  </si>
  <si>
    <t xml:space="preserve">Before revolver </t>
  </si>
  <si>
    <t xml:space="preserve">Revolver </t>
  </si>
  <si>
    <t>Finance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</si>
  <si>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</si>
  <si>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</si>
  <si>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</si>
  <si>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</si>
  <si>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</si>
  <si>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</si>
  <si>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</si>
  <si>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</si>
  <si>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</si>
  <si>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</si>
  <si>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</si>
  <si>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</si>
  <si>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>Net cash</t>
  </si>
  <si>
    <t xml:space="preserve">Valuation </t>
  </si>
  <si>
    <t xml:space="preserve">Capital </t>
  </si>
  <si>
    <t xml:space="preserve">Current value </t>
  </si>
  <si>
    <t>P/assets</t>
  </si>
  <si>
    <t>Yield</t>
  </si>
  <si>
    <t xml:space="preserve">Payback </t>
  </si>
  <si>
    <t xml:space="preserve">Forecast </t>
  </si>
  <si>
    <t>Value</t>
  </si>
  <si>
    <t xml:space="preserve">Shares 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</si>
  <si>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</si>
  <si>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</si>
  <si>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</si>
  <si>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</si>
  <si>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</si>
  <si>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 xml:space="preserve">Rpbn </t>
  </si>
  <si>
    <t xml:space="preserve">Sales growth </t>
  </si>
  <si>
    <t xml:space="preserve">Cost ratio </t>
  </si>
  <si>
    <t>Cashflow costs</t>
  </si>
  <si>
    <t>Receipts</t>
  </si>
  <si>
    <t xml:space="preserve">Operating </t>
  </si>
  <si>
    <t xml:space="preserve">Investment </t>
  </si>
  <si>
    <t>Leases</t>
  </si>
  <si>
    <t xml:space="preserve">Free cashflow </t>
  </si>
  <si>
    <t>Rp bn</t>
  </si>
  <si>
    <t>Cash</t>
  </si>
  <si>
    <t>Assets</t>
  </si>
  <si>
    <t>Check</t>
  </si>
  <si>
    <t xml:space="preserve">Net cash </t>
  </si>
  <si>
    <t>Share price</t>
  </si>
  <si>
    <t>BOLA</t>
  </si>
  <si>
    <t>Target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</si>
</sst>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%"/>
    <numFmt numFmtId="60" formatCode="#,##0.0"/>
    <numFmt numFmtId="61" formatCode="0_);[Red]\(0\)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49" fontId="2" fillId="2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2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2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3" borderId="1" applyNumberFormat="1" applyFont="1" applyFill="1" applyBorder="1" applyAlignment="1" applyProtection="0">
      <alignment horizontal="right" vertical="top" wrapText="1"/>
    </xf>
    <xf numFmtId="0" fontId="2" fillId="4" borderId="2" applyNumberFormat="1" applyFont="1" applyFill="1" applyBorder="1" applyAlignment="1" applyProtection="0">
      <alignment vertical="top" wrapText="1"/>
    </xf>
    <xf numFmtId="1" fontId="0" borderId="3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61" fontId="0" borderId="3" applyNumberFormat="1" applyFont="1" applyFill="0" applyBorder="1" applyAlignment="1" applyProtection="0">
      <alignment vertical="top" wrapText="1"/>
    </xf>
    <xf numFmtId="61" fontId="0" borderId="4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61" fontId="0" borderId="6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3" borderId="1" applyNumberFormat="0" applyFont="1" applyFill="1" applyBorder="1" applyAlignment="1" applyProtection="0">
      <alignment vertical="top" wrapText="1"/>
    </xf>
    <xf numFmtId="49" fontId="2" fillId="3" borderId="1" applyNumberFormat="1" applyFont="1" applyFill="1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2c2c2"/>
      <rgbColor rgb="ffa5a5a5"/>
      <rgbColor rgb="ff3f3f3f"/>
      <rgbColor rgb="ffbdc0b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451778</xdr:colOff>
      <xdr:row>1</xdr:row>
      <xdr:rowOff>245102</xdr:rowOff>
    </xdr:from>
    <xdr:to>
      <xdr:col>13</xdr:col>
      <xdr:colOff>231721</xdr:colOff>
      <xdr:row>47</xdr:row>
      <xdr:rowOff>183420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404778" y="528947"/>
          <a:ext cx="8492144" cy="1175312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1.4844" style="1" customWidth="1"/>
    <col min="2" max="2" width="14.7656" style="1" customWidth="1"/>
    <col min="3" max="6" width="9.60938" style="1" customWidth="1"/>
    <col min="7" max="16384" width="16.3516" style="1" customWidth="1"/>
  </cols>
  <sheetData>
    <row r="1" ht="22.3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6"/>
    </row>
    <row r="4" ht="20.25" customHeight="1">
      <c r="B4" t="s" s="7">
        <v>3</v>
      </c>
      <c r="C4" s="8">
        <f>AVERAGE('Sales'!G14:G17)</f>
        <v>0.550481835261426</v>
      </c>
      <c r="D4" s="9"/>
      <c r="E4" s="9"/>
      <c r="F4" s="10">
        <f>AVERAGE(C5:F5)</f>
        <v>0.07000000000000001</v>
      </c>
    </row>
    <row r="5" ht="20.05" customHeight="1">
      <c r="B5" t="s" s="11">
        <v>4</v>
      </c>
      <c r="C5" s="12">
        <v>0.07000000000000001</v>
      </c>
      <c r="D5" s="13">
        <v>-0.01</v>
      </c>
      <c r="E5" s="13">
        <v>0.15</v>
      </c>
      <c r="F5" s="13">
        <v>0.07000000000000001</v>
      </c>
    </row>
    <row r="6" ht="20.05" customHeight="1">
      <c r="B6" t="s" s="11">
        <v>5</v>
      </c>
      <c r="C6" s="14">
        <f>'Sales'!C17*(1+C5)</f>
        <v>55.426</v>
      </c>
      <c r="D6" s="15">
        <f>C6*(1+D5)</f>
        <v>54.87174</v>
      </c>
      <c r="E6" s="15">
        <f>D6*(1+E5)</f>
        <v>63.102501</v>
      </c>
      <c r="F6" s="15">
        <f>E6*(1+F5)</f>
        <v>67.51967607</v>
      </c>
    </row>
    <row r="7" ht="20.05" customHeight="1">
      <c r="B7" t="s" s="11">
        <v>6</v>
      </c>
      <c r="C7" s="12">
        <f>AVERAGE('Sales'!I16)</f>
        <v>-1.14134699960561</v>
      </c>
      <c r="D7" s="13">
        <f>C7</f>
        <v>-1.14134699960561</v>
      </c>
      <c r="E7" s="13">
        <f>D7</f>
        <v>-1.14134699960561</v>
      </c>
      <c r="F7" s="13">
        <f>E7</f>
        <v>-1.14134699960561</v>
      </c>
    </row>
    <row r="8" ht="20.05" customHeight="1">
      <c r="B8" t="s" s="11">
        <v>7</v>
      </c>
      <c r="C8" s="16">
        <f>C6*C7</f>
        <v>-63.2602988001405</v>
      </c>
      <c r="D8" s="17">
        <f>D6*D7</f>
        <v>-62.6276958121391</v>
      </c>
      <c r="E8" s="17">
        <f>E6*E7</f>
        <v>-72.021850183960</v>
      </c>
      <c r="F8" s="17">
        <f>F6*F7</f>
        <v>-77.0633796968372</v>
      </c>
    </row>
    <row r="9" ht="20.05" customHeight="1">
      <c r="B9" t="s" s="11">
        <v>8</v>
      </c>
      <c r="C9" s="16">
        <f>C6+C8</f>
        <v>-7.8342988001405</v>
      </c>
      <c r="D9" s="17">
        <f>D6+D8</f>
        <v>-7.7559558121391</v>
      </c>
      <c r="E9" s="17">
        <f>E6+E8</f>
        <v>-8.919349183960</v>
      </c>
      <c r="F9" s="17">
        <f>F6+F8</f>
        <v>-9.5437036268372</v>
      </c>
    </row>
    <row r="10" ht="20.05" customHeight="1">
      <c r="B10" t="s" s="11">
        <v>9</v>
      </c>
      <c r="C10" s="16">
        <f>AVERAGE('Cashflow'!E4)</f>
        <v>0</v>
      </c>
      <c r="D10" s="17">
        <f>C10</f>
        <v>0</v>
      </c>
      <c r="E10" s="17">
        <f>D10</f>
        <v>0</v>
      </c>
      <c r="F10" s="17">
        <f>E10</f>
        <v>0</v>
      </c>
    </row>
    <row r="11" ht="20.05" customHeight="1">
      <c r="B11" t="s" s="11">
        <v>10</v>
      </c>
      <c r="C11" s="16">
        <f>-('Balance sheet'!G14)/20</f>
        <v>-3.65</v>
      </c>
      <c r="D11" s="17">
        <f>-C26/20</f>
        <v>-3.4675</v>
      </c>
      <c r="E11" s="17">
        <f>-D26/20</f>
        <v>-3.294125</v>
      </c>
      <c r="F11" s="17">
        <f>-E26/20</f>
        <v>-3.12941875</v>
      </c>
    </row>
    <row r="12" ht="20.05" customHeight="1">
      <c r="B12" t="s" s="11">
        <v>11</v>
      </c>
      <c r="C12" s="16">
        <f>IF(C21&gt;0,-C21*1,0)</f>
        <v>0</v>
      </c>
      <c r="D12" s="17">
        <f>IF(D21&gt;0,-D21*1,0)</f>
        <v>0</v>
      </c>
      <c r="E12" s="17">
        <f>IF(E21&gt;0,-E21*1,0)</f>
        <v>0</v>
      </c>
      <c r="F12" s="17">
        <f>IF(F21&gt;0,-F21*1,0)</f>
        <v>0</v>
      </c>
    </row>
    <row r="13" ht="20.05" customHeight="1">
      <c r="B13" t="s" s="11">
        <v>12</v>
      </c>
      <c r="C13" s="16">
        <f>C9+C10+C11+C12</f>
        <v>-11.4842988001405</v>
      </c>
      <c r="D13" s="17">
        <f>D9+D10+D11+D12</f>
        <v>-11.2234558121391</v>
      </c>
      <c r="E13" s="17">
        <f>E9+E10+E11+E12</f>
        <v>-12.213474183960</v>
      </c>
      <c r="F13" s="17">
        <f>F9+F10+F11+F12</f>
        <v>-12.6731223768372</v>
      </c>
    </row>
    <row r="14" ht="20.05" customHeight="1">
      <c r="B14" t="s" s="11">
        <v>13</v>
      </c>
      <c r="C14" s="16">
        <f>-MIN(0,C13)</f>
        <v>11.4842988001405</v>
      </c>
      <c r="D14" s="17">
        <f>-MIN(C27,D13)</f>
        <v>11.2234558121391</v>
      </c>
      <c r="E14" s="17">
        <f>-MIN(D27,E13)</f>
        <v>12.213474183960</v>
      </c>
      <c r="F14" s="17">
        <f>-MIN(E27,F13)</f>
        <v>12.6731223768372</v>
      </c>
    </row>
    <row r="15" ht="20.05" customHeight="1">
      <c r="B15" t="s" s="11">
        <v>14</v>
      </c>
      <c r="C15" s="16">
        <f>C11+C12+C14</f>
        <v>7.8342988001405</v>
      </c>
      <c r="D15" s="17">
        <f>D11+D12+D14</f>
        <v>7.7559558121391</v>
      </c>
      <c r="E15" s="17">
        <f>E11+E12+E14</f>
        <v>8.919349183960</v>
      </c>
      <c r="F15" s="17">
        <f>F11+F12+F14</f>
        <v>9.5437036268372</v>
      </c>
    </row>
    <row r="16" ht="20.05" customHeight="1">
      <c r="B16" t="s" s="11">
        <v>15</v>
      </c>
      <c r="C16" s="16">
        <f>'Balance sheet'!C14</f>
        <v>193</v>
      </c>
      <c r="D16" s="17">
        <f>C18</f>
        <v>193</v>
      </c>
      <c r="E16" s="17">
        <f>D18</f>
        <v>193</v>
      </c>
      <c r="F16" s="17">
        <f>E18</f>
        <v>193</v>
      </c>
    </row>
    <row r="17" ht="20.05" customHeight="1">
      <c r="B17" t="s" s="11">
        <v>16</v>
      </c>
      <c r="C17" s="16">
        <f>C9+C10+C15</f>
        <v>0</v>
      </c>
      <c r="D17" s="17">
        <f>D9+D10+D15</f>
        <v>0</v>
      </c>
      <c r="E17" s="17">
        <f>E9+E10+E15</f>
        <v>0</v>
      </c>
      <c r="F17" s="17">
        <f>F9+F10+F15</f>
        <v>0</v>
      </c>
    </row>
    <row r="18" ht="20.05" customHeight="1">
      <c r="B18" t="s" s="11">
        <v>17</v>
      </c>
      <c r="C18" s="16">
        <f>C16+C17</f>
        <v>193</v>
      </c>
      <c r="D18" s="17">
        <f>D16+D17</f>
        <v>193</v>
      </c>
      <c r="E18" s="17">
        <f>E16+E17</f>
        <v>193</v>
      </c>
      <c r="F18" s="17">
        <f>F16+F17</f>
        <v>193</v>
      </c>
    </row>
    <row r="19" ht="20.05" customHeight="1">
      <c r="B19" t="s" s="18">
        <v>18</v>
      </c>
      <c r="C19" s="16"/>
      <c r="D19" s="17"/>
      <c r="E19" s="17"/>
      <c r="F19" s="19"/>
    </row>
    <row r="20" ht="20.05" customHeight="1">
      <c r="B20" t="s" s="11">
        <v>19</v>
      </c>
      <c r="C20" s="16">
        <f>-AVERAGE('Sales'!E15:E17)</f>
        <v>-2.23333333333333</v>
      </c>
      <c r="D20" s="17">
        <f>C20</f>
        <v>-2.23333333333333</v>
      </c>
      <c r="E20" s="17">
        <f>D20</f>
        <v>-2.23333333333333</v>
      </c>
      <c r="F20" s="17">
        <f>E20</f>
        <v>-2.23333333333333</v>
      </c>
    </row>
    <row r="21" ht="20.05" customHeight="1">
      <c r="B21" t="s" s="11">
        <v>20</v>
      </c>
      <c r="C21" s="16">
        <f>C6+C8+C20</f>
        <v>-10.0676321334738</v>
      </c>
      <c r="D21" s="17">
        <f>D6+D8+D20</f>
        <v>-9.98928914547243</v>
      </c>
      <c r="E21" s="17">
        <f>E6+E8+E20</f>
        <v>-11.1526825172933</v>
      </c>
      <c r="F21" s="17">
        <f>F6+F8+F20</f>
        <v>-11.7770369601705</v>
      </c>
    </row>
    <row r="22" ht="20.05" customHeight="1">
      <c r="B22" t="s" s="11">
        <v>21</v>
      </c>
      <c r="C22" s="16"/>
      <c r="D22" s="17"/>
      <c r="E22" s="17"/>
      <c r="F22" s="17"/>
    </row>
    <row r="23" ht="20.05" customHeight="1">
      <c r="B23" t="s" s="11">
        <v>22</v>
      </c>
      <c r="C23" s="16">
        <f>'Balance sheet'!E14+'Balance sheet'!F14-C10</f>
        <v>513</v>
      </c>
      <c r="D23" s="17">
        <f>C23-D10</f>
        <v>513</v>
      </c>
      <c r="E23" s="17">
        <f>D23-E10</f>
        <v>513</v>
      </c>
      <c r="F23" s="17">
        <f>E23-F10</f>
        <v>513</v>
      </c>
    </row>
    <row r="24" ht="20.05" customHeight="1">
      <c r="B24" t="s" s="11">
        <v>23</v>
      </c>
      <c r="C24" s="16">
        <f>'Balance sheet'!F14-C20</f>
        <v>37.2333333333333</v>
      </c>
      <c r="D24" s="17">
        <f>C24-D20</f>
        <v>39.4666666666666</v>
      </c>
      <c r="E24" s="17">
        <f>D24-E20</f>
        <v>41.6999999999999</v>
      </c>
      <c r="F24" s="17">
        <f>E24-F20</f>
        <v>43.9333333333332</v>
      </c>
    </row>
    <row r="25" ht="20.05" customHeight="1">
      <c r="B25" t="s" s="11">
        <v>24</v>
      </c>
      <c r="C25" s="16">
        <f>C23-C24</f>
        <v>475.766666666667</v>
      </c>
      <c r="D25" s="17">
        <f>D23-D24</f>
        <v>473.533333333333</v>
      </c>
      <c r="E25" s="17">
        <f>E23-E24</f>
        <v>471.3</v>
      </c>
      <c r="F25" s="17">
        <f>F23-F24</f>
        <v>469.066666666667</v>
      </c>
    </row>
    <row r="26" ht="20.05" customHeight="1">
      <c r="B26" t="s" s="11">
        <v>10</v>
      </c>
      <c r="C26" s="16">
        <f>'Balance sheet'!G14+C11</f>
        <v>69.34999999999999</v>
      </c>
      <c r="D26" s="17">
        <f>C26+D11</f>
        <v>65.88249999999999</v>
      </c>
      <c r="E26" s="17">
        <f>D26+E11</f>
        <v>62.588375</v>
      </c>
      <c r="F26" s="17">
        <f>E26+F11</f>
        <v>59.45895625</v>
      </c>
    </row>
    <row r="27" ht="20.05" customHeight="1">
      <c r="B27" t="s" s="11">
        <v>13</v>
      </c>
      <c r="C27" s="16">
        <f>C14</f>
        <v>11.4842988001405</v>
      </c>
      <c r="D27" s="17">
        <f>C27+D14</f>
        <v>22.7077546122796</v>
      </c>
      <c r="E27" s="17">
        <f>D27+E14</f>
        <v>34.9212287962396</v>
      </c>
      <c r="F27" s="17">
        <f>E27+F14</f>
        <v>47.5943511730768</v>
      </c>
    </row>
    <row r="28" ht="20.05" customHeight="1">
      <c r="B28" t="s" s="11">
        <v>25</v>
      </c>
      <c r="C28" s="16">
        <f>'Balance sheet'!H14+C21+C12</f>
        <v>587.932367866526</v>
      </c>
      <c r="D28" s="17">
        <f>C28+D21+D12</f>
        <v>577.943078721054</v>
      </c>
      <c r="E28" s="17">
        <f>D28+E21+E12</f>
        <v>566.790396203761</v>
      </c>
      <c r="F28" s="17">
        <f>E28+F21+F12</f>
        <v>555.013359243591</v>
      </c>
    </row>
    <row r="29" ht="20.05" customHeight="1">
      <c r="B29" t="s" s="11">
        <v>26</v>
      </c>
      <c r="C29" s="16">
        <f>C26+C27+C28-C18-C25</f>
        <v>-5e-13</v>
      </c>
      <c r="D29" s="17">
        <f>D26+D27+D28-D18-D25</f>
        <v>6e-13</v>
      </c>
      <c r="E29" s="17">
        <f>E26+E27+E28-E18-E25</f>
        <v>6e-13</v>
      </c>
      <c r="F29" s="17">
        <f>F26+F27+F28-F18-F25</f>
        <v>8e-13</v>
      </c>
    </row>
    <row r="30" ht="20.05" customHeight="1">
      <c r="B30" t="s" s="11">
        <v>27</v>
      </c>
      <c r="C30" s="16">
        <f>C18-C26-C27</f>
        <v>112.165701199860</v>
      </c>
      <c r="D30" s="17">
        <f>D18-D26-D27</f>
        <v>104.409745387720</v>
      </c>
      <c r="E30" s="17">
        <f>E18-E26-E27</f>
        <v>95.4903962037604</v>
      </c>
      <c r="F30" s="17">
        <f>F18-F26-F27</f>
        <v>85.9466925769232</v>
      </c>
    </row>
    <row r="31" ht="20.05" customHeight="1">
      <c r="B31" t="s" s="11">
        <v>28</v>
      </c>
      <c r="C31" s="16"/>
      <c r="D31" s="17"/>
      <c r="E31" s="17"/>
      <c r="F31" s="17"/>
    </row>
    <row r="32" ht="20.05" customHeight="1">
      <c r="B32" t="s" s="11">
        <v>29</v>
      </c>
      <c r="C32" s="16">
        <f>'Cashflow'!L18-C15</f>
        <v>-431.302298800141</v>
      </c>
      <c r="D32" s="17">
        <f>C32-D15</f>
        <v>-439.058254612280</v>
      </c>
      <c r="E32" s="17">
        <f>D32-E15</f>
        <v>-447.977603796240</v>
      </c>
      <c r="F32" s="17">
        <f>E32-F15</f>
        <v>-457.521307423077</v>
      </c>
    </row>
    <row r="33" ht="20.05" customHeight="1">
      <c r="B33" t="s" s="11">
        <v>30</v>
      </c>
      <c r="C33" s="16"/>
      <c r="D33" s="17"/>
      <c r="E33" s="17"/>
      <c r="F33" s="17">
        <v>4110</v>
      </c>
    </row>
    <row r="34" ht="20.05" customHeight="1">
      <c r="B34" t="s" s="11">
        <v>31</v>
      </c>
      <c r="C34" s="16"/>
      <c r="D34" s="17"/>
      <c r="E34" s="17"/>
      <c r="F34" s="20">
        <f>F33/((F18+F25))</f>
        <v>6.20783405497935</v>
      </c>
    </row>
    <row r="35" ht="20.05" customHeight="1">
      <c r="B35" t="s" s="11">
        <v>32</v>
      </c>
      <c r="C35" s="16"/>
      <c r="D35" s="17"/>
      <c r="E35" s="17"/>
      <c r="F35" s="21">
        <f>-(C12+D12+E12+F12)/F33</f>
        <v>0</v>
      </c>
    </row>
    <row r="36" ht="20.05" customHeight="1">
      <c r="B36" t="s" s="11">
        <v>3</v>
      </c>
      <c r="C36" s="16"/>
      <c r="D36" s="17"/>
      <c r="E36" s="17"/>
      <c r="F36" s="17">
        <f>SUM(C9:F10)</f>
        <v>-34.0533074230768</v>
      </c>
    </row>
    <row r="37" ht="20.05" customHeight="1">
      <c r="B37" t="s" s="11">
        <v>33</v>
      </c>
      <c r="C37" s="16"/>
      <c r="D37" s="17"/>
      <c r="E37" s="17"/>
      <c r="F37" s="17">
        <f>'Balance sheet'!E14/F36</f>
        <v>-14.0368156919781</v>
      </c>
    </row>
    <row r="38" ht="20.05" customHeight="1">
      <c r="B38" t="s" s="11">
        <v>28</v>
      </c>
      <c r="C38" s="16"/>
      <c r="D38" s="17"/>
      <c r="E38" s="17"/>
      <c r="F38" s="17">
        <f>F33/F36</f>
        <v>-120.693122372448</v>
      </c>
    </row>
    <row r="39" ht="20.05" customHeight="1">
      <c r="B39" t="s" s="11">
        <v>5</v>
      </c>
      <c r="C39" s="16"/>
      <c r="D39" s="17"/>
      <c r="E39" s="17"/>
      <c r="F39" s="17">
        <f>SUM(C6:F6)</f>
        <v>240.91991707</v>
      </c>
    </row>
    <row r="40" ht="20.05" customHeight="1">
      <c r="B40" t="s" s="11">
        <v>34</v>
      </c>
      <c r="C40" s="16"/>
      <c r="D40" s="17"/>
      <c r="E40" s="17"/>
      <c r="F40" s="17">
        <v>7</v>
      </c>
    </row>
    <row r="41" ht="20.05" customHeight="1">
      <c r="B41" t="s" s="11">
        <v>35</v>
      </c>
      <c r="C41" s="16"/>
      <c r="D41" s="17"/>
      <c r="E41" s="17"/>
      <c r="F41" s="17">
        <f>F39*F40</f>
        <v>1686.43941949</v>
      </c>
    </row>
    <row r="42" ht="20.05" customHeight="1">
      <c r="B42" t="s" s="11">
        <v>36</v>
      </c>
      <c r="C42" s="16"/>
      <c r="D42" s="17"/>
      <c r="E42" s="17"/>
      <c r="F42" s="17">
        <f>F33/F44</f>
        <v>6</v>
      </c>
    </row>
    <row r="43" ht="20.05" customHeight="1">
      <c r="B43" t="s" s="11">
        <v>37</v>
      </c>
      <c r="C43" s="16"/>
      <c r="D43" s="17"/>
      <c r="E43" s="17"/>
      <c r="F43" s="17">
        <f>F41/F42</f>
        <v>281.073236581667</v>
      </c>
    </row>
    <row r="44" ht="20.05" customHeight="1">
      <c r="B44" t="s" s="11">
        <v>38</v>
      </c>
      <c r="C44" s="16"/>
      <c r="D44" s="17"/>
      <c r="E44" s="17"/>
      <c r="F44" s="17">
        <f>'Share price'!C15</f>
        <v>685</v>
      </c>
    </row>
    <row r="45" ht="20.05" customHeight="1">
      <c r="B45" t="s" s="11">
        <v>39</v>
      </c>
      <c r="C45" s="16"/>
      <c r="D45" s="17"/>
      <c r="E45" s="17"/>
      <c r="F45" s="21">
        <f>F43/F44-1</f>
        <v>-0.589674107180048</v>
      </c>
    </row>
    <row r="46" ht="20.05" customHeight="1">
      <c r="B46" t="s" s="11">
        <v>40</v>
      </c>
      <c r="C46" s="16"/>
      <c r="D46" s="17"/>
      <c r="E46" s="17"/>
      <c r="F46" s="21">
        <f>'Sales'!C17/'Sales'!C13-1</f>
        <v>2.01162790697674</v>
      </c>
    </row>
    <row r="47" ht="20.05" customHeight="1">
      <c r="B47" t="s" s="11">
        <v>41</v>
      </c>
      <c r="C47" s="16"/>
      <c r="D47" s="17"/>
      <c r="E47" s="17"/>
      <c r="F47" s="21">
        <f>('Sales'!D10+'Sales'!D17+'Sales'!D11+'Sales'!D12+'Sales'!D13+'Sales'!D14+'Sales'!D15+'Sales'!D16)/('Sales'!C10+'Sales'!C11+'Sales'!C12+'Sales'!C13+'Sales'!C14+'Sales'!C15+'Sales'!C17+'Sales'!C16)-1</f>
        <v>0.189016115351993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J21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5.17188" style="22" customWidth="1"/>
    <col min="2" max="2" width="9" style="22" customWidth="1"/>
    <col min="3" max="10" width="9.46094" style="22" customWidth="1"/>
    <col min="11" max="16384" width="16.3516" style="22" customWidth="1"/>
  </cols>
  <sheetData>
    <row r="1" ht="27.65" customHeight="1">
      <c r="B1" t="s" s="2">
        <v>5</v>
      </c>
      <c r="C1" s="2"/>
      <c r="D1" s="2"/>
      <c r="E1" s="2"/>
      <c r="F1" s="2"/>
      <c r="G1" s="2"/>
      <c r="H1" s="2"/>
      <c r="I1" s="2"/>
      <c r="J1" s="2"/>
    </row>
    <row r="2" ht="32.25" customHeight="1">
      <c r="B2" t="s" s="23">
        <v>42</v>
      </c>
      <c r="C2" t="s" s="23">
        <v>5</v>
      </c>
      <c r="D2" t="s" s="23">
        <v>34</v>
      </c>
      <c r="E2" t="s" s="23">
        <v>23</v>
      </c>
      <c r="F2" t="s" s="23">
        <v>20</v>
      </c>
      <c r="G2" t="s" s="23">
        <v>43</v>
      </c>
      <c r="H2" t="s" s="23">
        <v>44</v>
      </c>
      <c r="I2" t="s" s="23">
        <v>45</v>
      </c>
      <c r="J2" t="s" s="23">
        <v>45</v>
      </c>
    </row>
    <row r="3" ht="20.25" customHeight="1">
      <c r="B3" s="24">
        <v>2018</v>
      </c>
      <c r="C3" s="25"/>
      <c r="D3" s="26"/>
      <c r="E3" s="26"/>
      <c r="F3" s="26"/>
      <c r="G3" s="10"/>
      <c r="H3" s="10"/>
      <c r="I3" s="10"/>
      <c r="J3" s="10"/>
    </row>
    <row r="4" ht="20.05" customHeight="1">
      <c r="B4" s="27"/>
      <c r="C4" s="16">
        <v>51.7</v>
      </c>
      <c r="D4" s="28"/>
      <c r="E4" s="17">
        <v>4.7</v>
      </c>
      <c r="F4" s="17">
        <v>6.9</v>
      </c>
      <c r="G4" s="13"/>
      <c r="H4" s="21">
        <f>(E4+F4-C4)/C4</f>
        <v>-0.775628626692456</v>
      </c>
      <c r="I4" s="21"/>
      <c r="J4" s="13">
        <f>('Cashflow'!D5-'Cashflow'!C5)/'Cashflow'!C5</f>
        <v>-1.51048951048951</v>
      </c>
    </row>
    <row r="5" ht="20.05" customHeight="1">
      <c r="B5" s="27"/>
      <c r="C5" s="16">
        <v>36.2</v>
      </c>
      <c r="D5" s="28"/>
      <c r="E5" s="17">
        <v>3.3</v>
      </c>
      <c r="F5" s="17">
        <v>7.3</v>
      </c>
      <c r="G5" s="21">
        <f>C5/C4-1</f>
        <v>-0.299806576402321</v>
      </c>
      <c r="H5" s="21">
        <f>(E5+F5-C5)/C5</f>
        <v>-0.707182320441989</v>
      </c>
      <c r="I5" s="21"/>
      <c r="J5" s="13">
        <f>('Cashflow'!D6-'Cashflow'!C6)/'Cashflow'!C6</f>
        <v>-1.54682779456193</v>
      </c>
    </row>
    <row r="6" ht="20.05" customHeight="1">
      <c r="B6" s="27"/>
      <c r="C6" s="16">
        <v>27.1</v>
      </c>
      <c r="D6" s="28"/>
      <c r="E6" s="17">
        <v>3</v>
      </c>
      <c r="F6" s="17">
        <v>-9.199999999999999</v>
      </c>
      <c r="G6" s="21">
        <f>C6/C5-1</f>
        <v>-0.251381215469613</v>
      </c>
      <c r="H6" s="21">
        <f>(E6+F6-C6)/C6</f>
        <v>-1.22878228782288</v>
      </c>
      <c r="I6" s="21"/>
      <c r="J6" s="13">
        <f>('Cashflow'!D7-'Cashflow'!C7)/'Cashflow'!C7</f>
        <v>-0.285714285714286</v>
      </c>
    </row>
    <row r="7" ht="20.05" customHeight="1">
      <c r="B7" s="29">
        <v>2019</v>
      </c>
      <c r="C7" s="16">
        <v>27.8</v>
      </c>
      <c r="D7" s="28"/>
      <c r="E7" s="17">
        <v>0</v>
      </c>
      <c r="F7" s="17">
        <v>2.5</v>
      </c>
      <c r="G7" s="21">
        <f>C7/C6-1</f>
        <v>0.025830258302583</v>
      </c>
      <c r="H7" s="21">
        <f>(E7+F7-C7)/C7</f>
        <v>-0.9100719424460429</v>
      </c>
      <c r="I7" s="13">
        <f>AVERAGE(J4:J7)</f>
        <v>-0.267757897691432</v>
      </c>
      <c r="J7" s="13">
        <f>('Cashflow'!D8-'Cashflow'!C8)/'Cashflow'!C8</f>
        <v>2.272</v>
      </c>
    </row>
    <row r="8" ht="20.05" customHeight="1">
      <c r="B8" s="27"/>
      <c r="C8" s="16">
        <v>48.8</v>
      </c>
      <c r="D8" s="28"/>
      <c r="E8" s="17">
        <v>7.8</v>
      </c>
      <c r="F8" s="17">
        <v>4.7</v>
      </c>
      <c r="G8" s="21">
        <f>C8/C7-1</f>
        <v>0.755395683453237</v>
      </c>
      <c r="H8" s="21">
        <f>(E8+F8-C8)/C8</f>
        <v>-0.743852459016393</v>
      </c>
      <c r="I8" s="13">
        <f>AVERAGE(J5:J8)</f>
        <v>-0.09019427447563449</v>
      </c>
      <c r="J8" s="13">
        <f>('Cashflow'!D9-'Cashflow'!C9)/'Cashflow'!C9</f>
        <v>-0.800235017626322</v>
      </c>
    </row>
    <row r="9" ht="20.05" customHeight="1">
      <c r="B9" s="27"/>
      <c r="C9" s="16">
        <v>66.40000000000001</v>
      </c>
      <c r="D9" s="28"/>
      <c r="E9" s="17">
        <v>4.2</v>
      </c>
      <c r="F9" s="17">
        <v>3.8</v>
      </c>
      <c r="G9" s="21">
        <f>C9/C8-1</f>
        <v>0.360655737704918</v>
      </c>
      <c r="H9" s="21">
        <f>(E9+F9-C9)/C9</f>
        <v>-0.879518072289157</v>
      </c>
      <c r="I9" s="13">
        <f>AVERAGE(J6:J9)</f>
        <v>0.014197333255758</v>
      </c>
      <c r="J9" s="13">
        <f>('Cashflow'!D10-'Cashflow'!C10)/'Cashflow'!C10</f>
        <v>-1.12926136363636</v>
      </c>
    </row>
    <row r="10" ht="20.05" customHeight="1">
      <c r="B10" s="27"/>
      <c r="C10" s="16">
        <v>72.2</v>
      </c>
      <c r="D10" s="17">
        <v>66.40000000000001</v>
      </c>
      <c r="E10" s="17">
        <v>-0.5</v>
      </c>
      <c r="F10" s="17">
        <v>-3.6</v>
      </c>
      <c r="G10" s="21">
        <f>C10/C9-1</f>
        <v>0.08734939759036139</v>
      </c>
      <c r="H10" s="21">
        <f>(E10+F10-C10)/C10</f>
        <v>-1.05678670360111</v>
      </c>
      <c r="I10" s="13">
        <f>AVERAGE(J7:J10)</f>
        <v>0.314597867301152</v>
      </c>
      <c r="J10" s="13">
        <f>('Cashflow'!D11-'Cashflow'!C11)/'Cashflow'!C11</f>
        <v>0.91588785046729</v>
      </c>
    </row>
    <row r="11" ht="20.05" customHeight="1">
      <c r="B11" s="29">
        <v>2020</v>
      </c>
      <c r="C11" s="16">
        <v>41.9</v>
      </c>
      <c r="D11" s="17">
        <v>30.5</v>
      </c>
      <c r="E11" s="17">
        <v>2.3</v>
      </c>
      <c r="F11" s="17">
        <v>7.1</v>
      </c>
      <c r="G11" s="21">
        <f>C11/C10-1</f>
        <v>-0.419667590027701</v>
      </c>
      <c r="H11" s="21">
        <f>(E11+F11-C11)/C11</f>
        <v>-0.775656324582339</v>
      </c>
      <c r="I11" s="13">
        <f>AVERAGE(J8:J11)</f>
        <v>-0.587585806168236</v>
      </c>
      <c r="J11" s="13">
        <f>('Cashflow'!D12-'Cashflow'!C12)/'Cashflow'!C12</f>
        <v>-1.33673469387755</v>
      </c>
    </row>
    <row r="12" ht="20.05" customHeight="1">
      <c r="B12" s="27"/>
      <c r="C12" s="16">
        <f>45.8-C11</f>
        <v>3.9</v>
      </c>
      <c r="D12" s="28">
        <v>41.48</v>
      </c>
      <c r="E12" s="17">
        <f>0.8+4.8-E11</f>
        <v>3.3</v>
      </c>
      <c r="F12" s="17">
        <f>-14-F11</f>
        <v>-21.1</v>
      </c>
      <c r="G12" s="21">
        <f>C12/C11-1</f>
        <v>-0.906921241050119</v>
      </c>
      <c r="H12" s="21">
        <f>(E12+F12-C12)/C12</f>
        <v>-5.56410256410256</v>
      </c>
      <c r="I12" s="13">
        <f>AVERAGE(J9:J12)</f>
        <v>-0.656183768179565</v>
      </c>
      <c r="J12" s="13">
        <f>('Cashflow'!D13-'Cashflow'!C13)/'Cashflow'!C13</f>
        <v>-1.07462686567164</v>
      </c>
    </row>
    <row r="13" ht="20.05" customHeight="1">
      <c r="B13" s="27"/>
      <c r="C13" s="16">
        <f>63-SUM(C11:C12)</f>
        <v>17.2</v>
      </c>
      <c r="D13" s="28">
        <v>6</v>
      </c>
      <c r="E13" s="17">
        <f>6-SUM(E11:E12)</f>
        <v>0.4</v>
      </c>
      <c r="F13" s="17">
        <f>-25-SUM(F11:F12)</f>
        <v>-11</v>
      </c>
      <c r="G13" s="21">
        <f>C13/C12-1</f>
        <v>3.41025641025641</v>
      </c>
      <c r="H13" s="21">
        <f>(E13+F13-C13)/C13</f>
        <v>-1.61627906976744</v>
      </c>
      <c r="I13" s="13">
        <f>AVERAGE(J10:J13)</f>
        <v>-0.498491236360633</v>
      </c>
      <c r="J13" s="13"/>
    </row>
    <row r="14" ht="20.05" customHeight="1">
      <c r="B14" s="27"/>
      <c r="C14" s="16">
        <f>76.4-SUM(C11:C13)</f>
        <v>13.4</v>
      </c>
      <c r="D14" s="17">
        <v>21.5</v>
      </c>
      <c r="E14" s="17">
        <f>12.6-SUM(E11:E12,E13)</f>
        <v>6.6</v>
      </c>
      <c r="F14" s="17">
        <f>3.3-SUM(F11:F13)</f>
        <v>28.3</v>
      </c>
      <c r="G14" s="21">
        <f>C14/C13-1</f>
        <v>-0.22093023255814</v>
      </c>
      <c r="H14" s="21">
        <f>(E14+F14-C14)/C14</f>
        <v>1.6044776119403</v>
      </c>
      <c r="I14" s="13">
        <f>AVERAGE(J11:J14)</f>
        <v>-1.60573236777192</v>
      </c>
      <c r="J14" s="13">
        <f>('Cashflow'!D15-'Cashflow'!C15)/'Cashflow'!C15</f>
        <v>-2.40583554376658</v>
      </c>
    </row>
    <row r="15" ht="20.05" customHeight="1">
      <c r="B15" s="29">
        <v>2021</v>
      </c>
      <c r="C15" s="16">
        <v>18.9</v>
      </c>
      <c r="D15" s="17">
        <v>43</v>
      </c>
      <c r="E15" s="17">
        <f>1.6</f>
        <v>1.6</v>
      </c>
      <c r="F15" s="17">
        <v>48.5</v>
      </c>
      <c r="G15" s="21">
        <f>C15/C14-1</f>
        <v>0.41044776119403</v>
      </c>
      <c r="H15" s="21">
        <f>(E15+F15-C15)/C15</f>
        <v>1.65079365079365</v>
      </c>
      <c r="I15" s="13">
        <f>AVERAGE(J12:J15)</f>
        <v>-1.44647503426527</v>
      </c>
      <c r="J15" s="13">
        <f>('Cashflow'!D16-'Cashflow'!C16)/'Cashflow'!C16</f>
        <v>-0.858962693357598</v>
      </c>
    </row>
    <row r="16" ht="20.05" customHeight="1">
      <c r="B16" s="27"/>
      <c r="C16" s="16">
        <f>35.4-C15</f>
        <v>16.5</v>
      </c>
      <c r="D16" s="17">
        <v>30.24</v>
      </c>
      <c r="E16" s="17">
        <f>8+1.6-E15</f>
        <v>8</v>
      </c>
      <c r="F16" s="17">
        <f>70-F15</f>
        <v>21.5</v>
      </c>
      <c r="G16" s="21">
        <f>C16/C15-1</f>
        <v>-0.126984126984127</v>
      </c>
      <c r="H16" s="21">
        <f>(E16+F16-C16)/C16</f>
        <v>0.787878787878788</v>
      </c>
      <c r="I16" s="13">
        <f>AVERAGE(J13:J16)</f>
        <v>-1.14134699960561</v>
      </c>
      <c r="J16" s="13">
        <f>('Cashflow'!D17-'Cashflow'!C17)/'Cashflow'!C17</f>
        <v>-0.15924276169265</v>
      </c>
    </row>
    <row r="17" ht="20.05" customHeight="1">
      <c r="B17" s="27"/>
      <c r="C17" s="16">
        <f>87.2-SUM(C15:C16)</f>
        <v>51.8</v>
      </c>
      <c r="D17" s="30">
        <v>41.25</v>
      </c>
      <c r="E17" s="28">
        <f>6.6+0.1-SUM(E15:E16)</f>
        <v>-2.9</v>
      </c>
      <c r="F17" s="28">
        <f>115.7-SUM(F15:F16)</f>
        <v>45.7</v>
      </c>
      <c r="G17" s="21">
        <f>C17/C16-1</f>
        <v>2.13939393939394</v>
      </c>
      <c r="H17" s="21">
        <f>(E17+F17-C17)/C17</f>
        <v>-0.173745173745174</v>
      </c>
      <c r="I17" s="13">
        <f>AVERAGE(J14:J17)</f>
        <v>-1.16508397371177</v>
      </c>
      <c r="J17" s="13">
        <f>('Cashflow'!D18-'Cashflow'!C18)/'Cashflow'!C18</f>
        <v>-1.23629489603025</v>
      </c>
    </row>
    <row r="18" ht="20.05" customHeight="1">
      <c r="B18" s="27"/>
      <c r="C18" s="16"/>
      <c r="D18" s="30">
        <f>'Model'!C6</f>
        <v>55.426</v>
      </c>
      <c r="E18" s="28"/>
      <c r="F18" s="28"/>
      <c r="G18" s="13"/>
      <c r="H18" s="13">
        <f>'Model'!C7</f>
        <v>-1.14134699960561</v>
      </c>
      <c r="I18" s="19"/>
      <c r="J18" s="13"/>
    </row>
    <row r="19" ht="20.05" customHeight="1">
      <c r="B19" s="29">
        <v>2022</v>
      </c>
      <c r="C19" s="16"/>
      <c r="D19" s="17">
        <f>'Model'!D6</f>
        <v>54.87174</v>
      </c>
      <c r="E19" s="28"/>
      <c r="F19" s="28"/>
      <c r="G19" s="13"/>
      <c r="H19" s="13"/>
      <c r="I19" s="13"/>
      <c r="J19" s="13"/>
    </row>
    <row r="20" ht="20.05" customHeight="1">
      <c r="B20" s="27"/>
      <c r="C20" s="16"/>
      <c r="D20" s="17">
        <f>'Model'!E6</f>
        <v>63.102501</v>
      </c>
      <c r="E20" s="28"/>
      <c r="F20" s="28"/>
      <c r="G20" s="13"/>
      <c r="H20" s="13"/>
      <c r="I20" s="13"/>
      <c r="J20" s="13"/>
    </row>
    <row r="21" ht="20.05" customHeight="1">
      <c r="B21" s="27"/>
      <c r="C21" s="16"/>
      <c r="D21" s="17">
        <f>'Model'!F6</f>
        <v>67.51967607</v>
      </c>
      <c r="E21" s="28"/>
      <c r="F21" s="28"/>
      <c r="G21" s="13"/>
      <c r="H21" s="13"/>
      <c r="I21" s="13"/>
      <c r="J21" s="13"/>
    </row>
  </sheetData>
  <mergeCells count="1">
    <mergeCell ref="B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1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26562" style="31" customWidth="1"/>
    <col min="2" max="2" width="7.80469" style="31" customWidth="1"/>
    <col min="3" max="3" width="10.6328" style="31" customWidth="1"/>
    <col min="4" max="4" width="8.625" style="31" customWidth="1"/>
    <col min="5" max="5" width="9.96875" style="31" customWidth="1"/>
    <col min="6" max="12" width="9.32031" style="31" customWidth="1"/>
    <col min="13" max="16384" width="16.3516" style="31" customWidth="1"/>
  </cols>
  <sheetData>
    <row r="1" ht="23.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B3" t="s" s="23">
        <v>1</v>
      </c>
      <c r="C3" t="s" s="23">
        <v>46</v>
      </c>
      <c r="D3" t="s" s="23">
        <v>47</v>
      </c>
      <c r="E3" t="s" s="23">
        <v>48</v>
      </c>
      <c r="F3" t="s" s="23">
        <v>49</v>
      </c>
      <c r="G3" t="s" s="23">
        <v>10</v>
      </c>
      <c r="H3" t="s" s="23">
        <v>25</v>
      </c>
      <c r="I3" t="s" s="23">
        <v>14</v>
      </c>
      <c r="J3" t="s" s="23">
        <v>50</v>
      </c>
      <c r="K3" t="s" s="23">
        <v>3</v>
      </c>
      <c r="L3" t="s" s="23">
        <v>29</v>
      </c>
    </row>
    <row r="4" ht="20.25" customHeight="1">
      <c r="B4" s="24">
        <v>2018</v>
      </c>
      <c r="C4" s="25"/>
      <c r="D4" s="32">
        <v>0</v>
      </c>
      <c r="E4" s="32">
        <v>0</v>
      </c>
      <c r="F4" s="32"/>
      <c r="G4" s="32"/>
      <c r="H4" s="32"/>
      <c r="I4" s="32">
        <v>0</v>
      </c>
      <c r="J4" s="26"/>
      <c r="K4" s="32"/>
      <c r="L4" s="26">
        <f>-(I4-F4)</f>
        <v>0</v>
      </c>
    </row>
    <row r="5" ht="20.05" customHeight="1">
      <c r="B5" s="27"/>
      <c r="C5" s="16">
        <v>42.9</v>
      </c>
      <c r="D5" s="17">
        <v>-21.9</v>
      </c>
      <c r="E5" s="17">
        <v>-41.1</v>
      </c>
      <c r="F5" s="17">
        <f>-0.3-F4</f>
        <v>-0.3</v>
      </c>
      <c r="G5" s="17"/>
      <c r="H5" s="17"/>
      <c r="I5" s="17">
        <v>64.5</v>
      </c>
      <c r="J5" s="17">
        <f>D5+E5</f>
        <v>-63</v>
      </c>
      <c r="K5" s="17"/>
      <c r="L5" s="17">
        <f>-(I5-F5)+L4</f>
        <v>-64.8</v>
      </c>
    </row>
    <row r="6" ht="20.05" customHeight="1">
      <c r="B6" s="27"/>
      <c r="C6" s="16">
        <v>33.1</v>
      </c>
      <c r="D6" s="17">
        <v>-18.1</v>
      </c>
      <c r="E6" s="17">
        <v>11.1</v>
      </c>
      <c r="F6" s="17">
        <f>-0.4-SUM(F4:F5)</f>
        <v>-0.1</v>
      </c>
      <c r="G6" s="17"/>
      <c r="H6" s="17"/>
      <c r="I6" s="17">
        <v>8.5</v>
      </c>
      <c r="J6" s="17">
        <f>D6+E6</f>
        <v>-7</v>
      </c>
      <c r="K6" s="17"/>
      <c r="L6" s="17">
        <f>-(I6-F6)+L5</f>
        <v>-73.40000000000001</v>
      </c>
    </row>
    <row r="7" ht="20.05" customHeight="1">
      <c r="B7" s="27"/>
      <c r="C7" s="16">
        <v>28</v>
      </c>
      <c r="D7" s="17">
        <v>20</v>
      </c>
      <c r="E7" s="17">
        <v>-10</v>
      </c>
      <c r="F7" s="17">
        <f>-0.9-SUM(F4:F6)</f>
        <v>-0.5</v>
      </c>
      <c r="G7" s="17"/>
      <c r="H7" s="17"/>
      <c r="I7" s="17">
        <v>-8</v>
      </c>
      <c r="J7" s="17">
        <f>D7+E7</f>
        <v>10</v>
      </c>
      <c r="K7" s="17"/>
      <c r="L7" s="17">
        <f>-(I7-F7)+L6</f>
        <v>-65.90000000000001</v>
      </c>
    </row>
    <row r="8" ht="20.05" customHeight="1">
      <c r="B8" s="29">
        <v>2019</v>
      </c>
      <c r="C8" s="16">
        <v>-12.5</v>
      </c>
      <c r="D8" s="17">
        <v>-40.9</v>
      </c>
      <c r="E8" s="17">
        <v>-14</v>
      </c>
      <c r="F8" s="17">
        <v>0.5</v>
      </c>
      <c r="G8" s="17"/>
      <c r="H8" s="17"/>
      <c r="I8" s="17">
        <v>31.4</v>
      </c>
      <c r="J8" s="17">
        <f>D8+E8</f>
        <v>-54.9</v>
      </c>
      <c r="K8" s="28">
        <f>AVERAGE(J5:J8)</f>
        <v>-28.725</v>
      </c>
      <c r="L8" s="17">
        <f>-(I8-F8)+L7</f>
        <v>-96.8</v>
      </c>
    </row>
    <row r="9" ht="20.05" customHeight="1">
      <c r="B9" s="27"/>
      <c r="C9" s="16">
        <v>85.09999999999999</v>
      </c>
      <c r="D9" s="17">
        <v>17</v>
      </c>
      <c r="E9" s="17">
        <v>4</v>
      </c>
      <c r="F9" s="17">
        <f>-0.7-F8</f>
        <v>-1.2</v>
      </c>
      <c r="G9" s="17"/>
      <c r="H9" s="17"/>
      <c r="I9" s="17">
        <v>305.6</v>
      </c>
      <c r="J9" s="17">
        <f>D9+E9</f>
        <v>21</v>
      </c>
      <c r="K9" s="28">
        <f>AVERAGE(J6:J9)</f>
        <v>-7.725</v>
      </c>
      <c r="L9" s="17">
        <f>-(I9-F9)+L8</f>
        <v>-403.6</v>
      </c>
    </row>
    <row r="10" ht="20.05" customHeight="1">
      <c r="B10" s="27"/>
      <c r="C10" s="16">
        <v>70.40000000000001</v>
      </c>
      <c r="D10" s="17">
        <v>-9.1</v>
      </c>
      <c r="E10" s="17">
        <v>9.300000000000001</v>
      </c>
      <c r="F10" s="17">
        <f>0.7-SUM(F8:F9)</f>
        <v>1.4</v>
      </c>
      <c r="G10" s="17"/>
      <c r="H10" s="17"/>
      <c r="I10" s="17">
        <v>2</v>
      </c>
      <c r="J10" s="17">
        <f>D10+E10</f>
        <v>0.2</v>
      </c>
      <c r="K10" s="28">
        <f>AVERAGE(J7:J10)</f>
        <v>-5.925</v>
      </c>
      <c r="L10" s="17">
        <f>-(I10-F10)+L9</f>
        <v>-404.2</v>
      </c>
    </row>
    <row r="11" ht="20.05" customHeight="1">
      <c r="B11" s="27"/>
      <c r="C11" s="16">
        <v>10.7</v>
      </c>
      <c r="D11" s="17">
        <v>20.5</v>
      </c>
      <c r="E11" s="17">
        <v>-107.3</v>
      </c>
      <c r="F11" s="17">
        <f>-1.2-SUM(F8:F10)</f>
        <v>-1.9</v>
      </c>
      <c r="G11" s="17"/>
      <c r="H11" s="17"/>
      <c r="I11" s="17">
        <v>-2</v>
      </c>
      <c r="J11" s="17">
        <f>D11+E11</f>
        <v>-86.8</v>
      </c>
      <c r="K11" s="28">
        <f>AVERAGE(J8:J11)</f>
        <v>-30.125</v>
      </c>
      <c r="L11" s="17">
        <f>-(I11-F11)+L10</f>
        <v>-404.1</v>
      </c>
    </row>
    <row r="12" ht="20.05" customHeight="1">
      <c r="B12" s="29">
        <v>2020</v>
      </c>
      <c r="C12" s="16">
        <v>39.2</v>
      </c>
      <c r="D12" s="17">
        <v>-13.2</v>
      </c>
      <c r="E12" s="17">
        <v>-139.7</v>
      </c>
      <c r="F12" s="17">
        <v>-0.9</v>
      </c>
      <c r="G12" s="17"/>
      <c r="H12" s="17"/>
      <c r="I12" s="17">
        <v>341.8</v>
      </c>
      <c r="J12" s="17">
        <f>D12+E12</f>
        <v>-152.9</v>
      </c>
      <c r="K12" s="28">
        <f>AVERAGE(J9:J12)</f>
        <v>-54.625</v>
      </c>
      <c r="L12" s="17">
        <f>-(I12-F12)+L11</f>
        <v>-746.8</v>
      </c>
    </row>
    <row r="13" ht="20.05" customHeight="1">
      <c r="B13" s="27"/>
      <c r="C13" s="16">
        <f>92.8-C12</f>
        <v>53.6</v>
      </c>
      <c r="D13" s="17">
        <f>-17.2-D12</f>
        <v>-4</v>
      </c>
      <c r="E13" s="17">
        <f>-56.4-E12</f>
        <v>83.3</v>
      </c>
      <c r="F13" s="17">
        <f>-0.7-F12</f>
        <v>0.2</v>
      </c>
      <c r="G13" s="17"/>
      <c r="H13" s="17"/>
      <c r="I13" s="17">
        <f>-2-I12</f>
        <v>-343.8</v>
      </c>
      <c r="J13" s="17">
        <f>D13+E13</f>
        <v>79.3</v>
      </c>
      <c r="K13" s="28">
        <f>AVERAGE(J10:J13)</f>
        <v>-40.05</v>
      </c>
      <c r="L13" s="17">
        <f>-(I13-F13)+L12</f>
        <v>-402.8</v>
      </c>
    </row>
    <row r="14" ht="20.05" customHeight="1">
      <c r="B14" s="27"/>
      <c r="C14" s="16">
        <f>92-SUM(C12:C13)</f>
        <v>-0.8</v>
      </c>
      <c r="D14" s="17">
        <f>25-SUM(D12:D13)</f>
        <v>42.2</v>
      </c>
      <c r="E14" s="17">
        <f>-211-SUM(E12:E13)</f>
        <v>-154.6</v>
      </c>
      <c r="F14" s="17">
        <f>-3.6-SUM(F12:F13)</f>
        <v>-2.9</v>
      </c>
      <c r="G14" s="17"/>
      <c r="H14" s="17"/>
      <c r="I14" s="17">
        <f>1-SUM(I12:I13)</f>
        <v>3</v>
      </c>
      <c r="J14" s="17">
        <f>D14+E14</f>
        <v>-112.4</v>
      </c>
      <c r="K14" s="28">
        <f>AVERAGE(J11:J14)</f>
        <v>-68.2</v>
      </c>
      <c r="L14" s="17">
        <f>-(I14-F14)+L13</f>
        <v>-408.7</v>
      </c>
    </row>
    <row r="15" ht="20.05" customHeight="1">
      <c r="B15" s="27"/>
      <c r="C15" s="16">
        <f>129.7-SUM(C12:C14)</f>
        <v>37.7</v>
      </c>
      <c r="D15" s="17">
        <f>-28-SUM(D12:D14)</f>
        <v>-53</v>
      </c>
      <c r="E15" s="17">
        <f>-20.9-SUM(E12:E14)</f>
        <v>190.1</v>
      </c>
      <c r="F15" s="17">
        <f>-4.2-SUM(F12:F14)</f>
        <v>-0.6</v>
      </c>
      <c r="G15" s="17"/>
      <c r="H15" s="17"/>
      <c r="I15" s="17">
        <f>2.6-SUM(I12:I14)</f>
        <v>1.6</v>
      </c>
      <c r="J15" s="17">
        <f>D15+E15</f>
        <v>137.1</v>
      </c>
      <c r="K15" s="28">
        <f>AVERAGE(J12:J15)</f>
        <v>-12.225</v>
      </c>
      <c r="L15" s="17">
        <f>-(I15-F15)+L14</f>
        <v>-410.9</v>
      </c>
    </row>
    <row r="16" ht="20.05" customHeight="1">
      <c r="B16" s="29">
        <v>2021</v>
      </c>
      <c r="C16" s="16">
        <v>109.9</v>
      </c>
      <c r="D16" s="17">
        <v>15.5</v>
      </c>
      <c r="E16" s="17">
        <v>-87.8</v>
      </c>
      <c r="F16" s="17">
        <v>-0.431</v>
      </c>
      <c r="G16" s="17"/>
      <c r="H16" s="17"/>
      <c r="I16" s="17">
        <v>-0.4</v>
      </c>
      <c r="J16" s="17">
        <f>D16+E16</f>
        <v>-72.3</v>
      </c>
      <c r="K16" s="28">
        <f>AVERAGE(J13:J16)</f>
        <v>7.925</v>
      </c>
      <c r="L16" s="17">
        <f>-(I16-F16)+L15</f>
        <v>-410.931</v>
      </c>
    </row>
    <row r="17" ht="20.05" customHeight="1">
      <c r="B17" s="27"/>
      <c r="C17" s="16">
        <f>20.1-C16</f>
        <v>-89.8</v>
      </c>
      <c r="D17" s="17">
        <f>-60-D16</f>
        <v>-75.5</v>
      </c>
      <c r="E17" s="17">
        <f>24.8-E16</f>
        <v>112.6</v>
      </c>
      <c r="F17" s="17">
        <f>-0.868-F16</f>
        <v>-0.437</v>
      </c>
      <c r="G17" s="17">
        <f>-0.901-F17-F16</f>
        <v>-0.033</v>
      </c>
      <c r="H17" s="17"/>
      <c r="I17" s="17">
        <f>-0.9-I16</f>
        <v>-0.5</v>
      </c>
      <c r="J17" s="17">
        <f>D17+E17</f>
        <v>37.1</v>
      </c>
      <c r="K17" s="28">
        <f>AVERAGE(J14:J17)</f>
        <v>-2.625</v>
      </c>
      <c r="L17" s="17">
        <f>-(I17-F17)+L16</f>
        <v>-410.868</v>
      </c>
    </row>
    <row r="18" ht="20.05" customHeight="1">
      <c r="B18" s="27"/>
      <c r="C18" s="16">
        <f>73-SUM(C16:C17)</f>
        <v>52.9</v>
      </c>
      <c r="D18" s="17">
        <f>-72.5-SUM(D16:D17)</f>
        <v>-12.5</v>
      </c>
      <c r="E18" s="17">
        <f>77.2-SUM(E16:E17)</f>
        <v>52.4</v>
      </c>
      <c r="F18" s="17">
        <f>-0.868-SUM(F16:F17)</f>
        <v>0</v>
      </c>
      <c r="G18" s="17">
        <f>11.678-F18-F17-F16-G17-H18</f>
        <v>0.679</v>
      </c>
      <c r="H18" s="17">
        <v>11.9</v>
      </c>
      <c r="I18" s="17">
        <f>11.7-SUM(I16:I17)</f>
        <v>12.6</v>
      </c>
      <c r="J18" s="17">
        <f>D18+E18</f>
        <v>39.9</v>
      </c>
      <c r="K18" s="28">
        <f>AVERAGE(J15:J18)</f>
        <v>35.45</v>
      </c>
      <c r="L18" s="17">
        <f>-(I18-F18)+L17</f>
        <v>-423.468</v>
      </c>
    </row>
    <row r="19" ht="20.05" customHeight="1">
      <c r="B19" s="27"/>
      <c r="C19" s="16"/>
      <c r="D19" s="17"/>
      <c r="E19" s="17"/>
      <c r="F19" s="17"/>
      <c r="G19" s="17"/>
      <c r="H19" s="17"/>
      <c r="I19" s="17"/>
      <c r="J19" s="17"/>
      <c r="K19" s="28">
        <f>SUM('Model'!F9:F10)</f>
        <v>-9.5437036268372</v>
      </c>
      <c r="L19" s="17">
        <f>'Model'!F32</f>
        <v>-457.521307423077</v>
      </c>
    </row>
  </sheetData>
  <mergeCells count="1">
    <mergeCell ref="B2:L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1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1172" style="33" customWidth="1"/>
    <col min="2" max="2" width="8.78125" style="33" customWidth="1"/>
    <col min="3" max="11" width="9.24219" style="33" customWidth="1"/>
    <col min="12" max="16384" width="16.3516" style="33" customWidth="1"/>
  </cols>
  <sheetData>
    <row r="1" ht="9.1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23">
        <v>51</v>
      </c>
      <c r="C3" t="s" s="23">
        <v>52</v>
      </c>
      <c r="D3" t="s" s="23">
        <v>53</v>
      </c>
      <c r="E3" t="s" s="23">
        <v>22</v>
      </c>
      <c r="F3" t="s" s="23">
        <v>23</v>
      </c>
      <c r="G3" t="s" s="23">
        <v>10</v>
      </c>
      <c r="H3" t="s" s="23">
        <v>25</v>
      </c>
      <c r="I3" t="s" s="23">
        <v>54</v>
      </c>
      <c r="J3" t="s" s="23">
        <v>55</v>
      </c>
      <c r="K3" t="s" s="23">
        <v>34</v>
      </c>
    </row>
    <row r="4" ht="20.25" customHeight="1">
      <c r="B4" s="24">
        <v>2019</v>
      </c>
      <c r="C4" s="34"/>
      <c r="D4" s="35"/>
      <c r="E4" s="36">
        <f>D4-C4</f>
        <v>0</v>
      </c>
      <c r="F4" s="35"/>
      <c r="G4" s="35"/>
      <c r="H4" s="35"/>
      <c r="I4" s="35"/>
      <c r="J4" s="35"/>
      <c r="K4" s="35"/>
    </row>
    <row r="5" ht="20.05" customHeight="1">
      <c r="B5" s="27"/>
      <c r="C5" s="37">
        <v>306.3</v>
      </c>
      <c r="D5" s="38">
        <v>500.5</v>
      </c>
      <c r="E5" s="15">
        <f>D5-C5</f>
        <v>194.2</v>
      </c>
      <c r="F5" s="38">
        <v>11</v>
      </c>
      <c r="G5" s="38">
        <v>37</v>
      </c>
      <c r="H5" s="38">
        <v>463.5</v>
      </c>
      <c r="I5" s="38">
        <f>G5+H5-C5-E5</f>
        <v>0</v>
      </c>
      <c r="J5" s="38">
        <f>C5-G5</f>
        <v>269.3</v>
      </c>
      <c r="K5" s="38"/>
    </row>
    <row r="6" ht="20.05" customHeight="1">
      <c r="B6" s="27"/>
      <c r="C6" s="37">
        <v>309</v>
      </c>
      <c r="D6" s="38">
        <v>533</v>
      </c>
      <c r="E6" s="15">
        <f>D6-C6</f>
        <v>224</v>
      </c>
      <c r="F6" s="38"/>
      <c r="G6" s="38">
        <v>66</v>
      </c>
      <c r="H6" s="38">
        <v>467</v>
      </c>
      <c r="I6" s="38">
        <f>G6+H6-C6-E6</f>
        <v>0</v>
      </c>
      <c r="J6" s="38">
        <f>C6-G6</f>
        <v>243</v>
      </c>
      <c r="K6" s="38"/>
    </row>
    <row r="7" ht="20.05" customHeight="1">
      <c r="B7" s="27"/>
      <c r="C7" s="37">
        <v>223</v>
      </c>
      <c r="D7" s="38">
        <v>543</v>
      </c>
      <c r="E7" s="15">
        <f>D7-C7</f>
        <v>320</v>
      </c>
      <c r="F7" s="38">
        <v>16</v>
      </c>
      <c r="G7" s="38">
        <v>74</v>
      </c>
      <c r="H7" s="38">
        <v>469</v>
      </c>
      <c r="I7" s="38">
        <f>G7+H7-C7-E7</f>
        <v>0</v>
      </c>
      <c r="J7" s="38">
        <f>C7-G7</f>
        <v>149</v>
      </c>
      <c r="K7" s="19"/>
    </row>
    <row r="8" ht="20.05" customHeight="1">
      <c r="B8" s="29">
        <v>2020</v>
      </c>
      <c r="C8" s="37">
        <v>191</v>
      </c>
      <c r="D8" s="38">
        <v>524</v>
      </c>
      <c r="E8" s="15">
        <f>D8-C8</f>
        <v>333</v>
      </c>
      <c r="F8" s="38">
        <v>18</v>
      </c>
      <c r="G8" s="38">
        <v>47</v>
      </c>
      <c r="H8" s="38">
        <v>477</v>
      </c>
      <c r="I8" s="38">
        <f>G8+H8-C8-E8</f>
        <v>0</v>
      </c>
      <c r="J8" s="38">
        <f>C8-G8</f>
        <v>144</v>
      </c>
      <c r="K8" s="19"/>
    </row>
    <row r="9" ht="20.05" customHeight="1">
      <c r="B9" s="27"/>
      <c r="C9" s="37">
        <v>147</v>
      </c>
      <c r="D9" s="28">
        <v>520.3</v>
      </c>
      <c r="E9" s="15">
        <f>D9-C9</f>
        <v>373.3</v>
      </c>
      <c r="F9" s="28">
        <v>21.6</v>
      </c>
      <c r="G9" s="38">
        <v>69.40000000000001</v>
      </c>
      <c r="H9" s="38">
        <v>451</v>
      </c>
      <c r="I9" s="38">
        <f>G9+H9-C9-E9</f>
        <v>0.1</v>
      </c>
      <c r="J9" s="38">
        <f>C9-G9</f>
        <v>77.59999999999999</v>
      </c>
      <c r="K9" s="38"/>
    </row>
    <row r="10" ht="20.05" customHeight="1">
      <c r="B10" s="27"/>
      <c r="C10" s="39">
        <v>124</v>
      </c>
      <c r="D10" s="30">
        <v>515</v>
      </c>
      <c r="E10" s="15">
        <f>D10-C10</f>
        <v>391</v>
      </c>
      <c r="F10" s="30">
        <v>23</v>
      </c>
      <c r="G10" s="38">
        <v>68</v>
      </c>
      <c r="H10" s="38">
        <v>447</v>
      </c>
      <c r="I10" s="38">
        <f>G10+H10-C10-E10</f>
        <v>0</v>
      </c>
      <c r="J10" s="38">
        <f>C10-G10</f>
        <v>56</v>
      </c>
      <c r="K10" s="19"/>
    </row>
    <row r="11" ht="20.05" customHeight="1">
      <c r="B11" s="27"/>
      <c r="C11" s="39">
        <v>176</v>
      </c>
      <c r="D11" s="30">
        <v>550</v>
      </c>
      <c r="E11" s="15">
        <f>D11-C11</f>
        <v>374</v>
      </c>
      <c r="F11" s="30">
        <f>28+4</f>
        <v>32</v>
      </c>
      <c r="G11" s="38">
        <v>79</v>
      </c>
      <c r="H11" s="38">
        <v>471</v>
      </c>
      <c r="I11" s="38">
        <f>G11+H11-C11-E11</f>
        <v>0</v>
      </c>
      <c r="J11" s="38">
        <f>C11-G11</f>
        <v>97</v>
      </c>
      <c r="K11" s="19"/>
    </row>
    <row r="12" ht="20.05" customHeight="1">
      <c r="B12" s="29">
        <v>2021</v>
      </c>
      <c r="C12" s="39">
        <v>118</v>
      </c>
      <c r="D12" s="30">
        <v>605</v>
      </c>
      <c r="E12" s="15">
        <f>D12-C12</f>
        <v>487</v>
      </c>
      <c r="F12" s="30">
        <f>30</f>
        <v>30</v>
      </c>
      <c r="G12" s="38">
        <v>85</v>
      </c>
      <c r="H12" s="38">
        <v>520</v>
      </c>
      <c r="I12" s="38">
        <f>G12+H12-C12-E12</f>
        <v>0</v>
      </c>
      <c r="J12" s="38">
        <f>C12-G12</f>
        <v>33</v>
      </c>
      <c r="K12" s="19"/>
    </row>
    <row r="13" ht="20.05" customHeight="1">
      <c r="B13" s="27"/>
      <c r="C13" s="39">
        <v>140</v>
      </c>
      <c r="D13" s="30">
        <v>619</v>
      </c>
      <c r="E13" s="15">
        <f>D13-C13</f>
        <v>479</v>
      </c>
      <c r="F13" s="30">
        <f>36+5</f>
        <v>41</v>
      </c>
      <c r="G13" s="38">
        <v>79</v>
      </c>
      <c r="H13" s="38">
        <v>540</v>
      </c>
      <c r="I13" s="38">
        <f>G13+H13-C13-E13</f>
        <v>0</v>
      </c>
      <c r="J13" s="38">
        <f>C13-G13</f>
        <v>61</v>
      </c>
      <c r="K13" s="19"/>
    </row>
    <row r="14" ht="20.05" customHeight="1">
      <c r="B14" s="27"/>
      <c r="C14" s="39">
        <v>193</v>
      </c>
      <c r="D14" s="30">
        <v>671</v>
      </c>
      <c r="E14" s="15">
        <f>D14-C14</f>
        <v>478</v>
      </c>
      <c r="F14" s="30">
        <f>35</f>
        <v>35</v>
      </c>
      <c r="G14" s="38">
        <v>73</v>
      </c>
      <c r="H14" s="38">
        <v>598</v>
      </c>
      <c r="I14" s="38">
        <f>G14+H14-C14-E14</f>
        <v>0</v>
      </c>
      <c r="J14" s="38">
        <f>C14-G14</f>
        <v>120</v>
      </c>
      <c r="K14" s="38">
        <f>J14</f>
        <v>120</v>
      </c>
    </row>
    <row r="15" ht="20.05" customHeight="1">
      <c r="B15" s="27"/>
      <c r="C15" s="40"/>
      <c r="D15" s="19"/>
      <c r="E15" s="15"/>
      <c r="F15" s="19"/>
      <c r="G15" s="38"/>
      <c r="H15" s="38"/>
      <c r="I15" s="38"/>
      <c r="J15" s="38"/>
      <c r="K15" s="30">
        <f>'Model'!F30</f>
        <v>85.9466925769232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1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3281" style="41" customWidth="1"/>
    <col min="2" max="4" width="11.0547" style="41" customWidth="1"/>
    <col min="5" max="16384" width="16.3516" style="41" customWidth="1"/>
  </cols>
  <sheetData>
    <row r="1" ht="11.5" customHeight="1"/>
    <row r="2" ht="27.65" customHeight="1">
      <c r="B2" t="s" s="2">
        <v>56</v>
      </c>
      <c r="C2" s="2"/>
      <c r="D2" s="2"/>
    </row>
    <row r="3" ht="20.25" customHeight="1">
      <c r="B3" s="42"/>
      <c r="C3" t="s" s="43">
        <v>57</v>
      </c>
      <c r="D3" t="s" s="43">
        <v>58</v>
      </c>
    </row>
    <row r="4" ht="20.25" customHeight="1">
      <c r="B4" s="24">
        <v>2019</v>
      </c>
      <c r="C4" s="25"/>
      <c r="D4" s="32"/>
    </row>
    <row r="5" ht="20.05" customHeight="1">
      <c r="B5" s="27"/>
      <c r="C5" s="44"/>
      <c r="D5" s="17"/>
    </row>
    <row r="6" ht="20.05" customHeight="1">
      <c r="B6" s="27"/>
      <c r="C6" s="44">
        <v>362</v>
      </c>
      <c r="D6" s="19"/>
    </row>
    <row r="7" ht="20.05" customHeight="1">
      <c r="B7" s="27"/>
      <c r="C7" s="44">
        <v>328</v>
      </c>
      <c r="D7" s="19"/>
    </row>
    <row r="8" ht="20.05" customHeight="1">
      <c r="B8" s="29">
        <v>2020</v>
      </c>
      <c r="C8" s="44">
        <v>150</v>
      </c>
      <c r="D8" s="19"/>
    </row>
    <row r="9" ht="20.05" customHeight="1">
      <c r="B9" s="27"/>
      <c r="C9" s="44">
        <v>169</v>
      </c>
      <c r="D9" s="19"/>
    </row>
    <row r="10" ht="20.05" customHeight="1">
      <c r="B10" s="27"/>
      <c r="C10" s="44">
        <v>164</v>
      </c>
      <c r="D10" s="19"/>
    </row>
    <row r="11" ht="20.05" customHeight="1">
      <c r="B11" s="27"/>
      <c r="C11" s="44">
        <v>164</v>
      </c>
      <c r="D11" s="19"/>
    </row>
    <row r="12" ht="20.05" customHeight="1">
      <c r="B12" s="29">
        <v>2021</v>
      </c>
      <c r="C12" s="44">
        <v>266</v>
      </c>
      <c r="D12" s="19"/>
    </row>
    <row r="13" ht="20.05" customHeight="1">
      <c r="B13" s="27"/>
      <c r="C13" s="44">
        <v>304</v>
      </c>
      <c r="D13" s="19"/>
    </row>
    <row r="14" ht="20.05" customHeight="1">
      <c r="B14" s="27"/>
      <c r="C14" s="44">
        <v>705</v>
      </c>
      <c r="D14" s="19"/>
    </row>
    <row r="15" ht="20.05" customHeight="1">
      <c r="B15" s="27"/>
      <c r="C15" s="44">
        <v>685</v>
      </c>
      <c r="D15" s="30">
        <f>C15</f>
        <v>685</v>
      </c>
    </row>
    <row r="16" ht="20.05" customHeight="1">
      <c r="B16" s="27"/>
      <c r="C16" s="44"/>
      <c r="D16" s="30">
        <f>'Model'!F43</f>
        <v>281.073236581667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