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<sst xmlns="http://schemas.openxmlformats.org/spreadsheetml/2006/main" uniqueCount="62">
  <si>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</si>
  <si>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</si>
  <si>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2021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</si>
  <si>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</si>
  <si>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</si>
  <si>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</si>
  <si>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</si>
  <si>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</si>
  <si>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</si>
  <si>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</si>
  <si>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</si>
  <si>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</si>
  <si>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</si>
  <si>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</si>
  <si>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</si>
  <si>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</si>
  <si>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</si>
  <si>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</si>
  <si>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</si>
  <si>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</si>
  <si>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</si>
  <si>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</si>
  <si>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</si>
  <si>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</si>
  <si>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</si>
  <si>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</si>
  <si>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</si>
  <si>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</si>
  <si>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>Capital</t>
  </si>
  <si>
    <t xml:space="preserve">Current value </t>
  </si>
  <si>
    <t>P/sales</t>
  </si>
  <si>
    <t>P/assets</t>
  </si>
  <si>
    <t>Yield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</si>
  <si>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</si>
  <si>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</si>
  <si>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</si>
  <si>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</si>
  <si>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</si>
  <si>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</si>
  <si>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months growth </t>
  </si>
  <si>
    <t xml:space="preserve">Sales forecasts </t>
  </si>
  <si>
    <t>Forecast</t>
  </si>
  <si>
    <t xml:space="preserve">Impairment losses </t>
  </si>
  <si>
    <t xml:space="preserve">Net profit  </t>
  </si>
  <si>
    <t>Sales to assets</t>
  </si>
  <si>
    <t xml:space="preserve">Sales growth </t>
  </si>
  <si>
    <t>Cash flow quarterly</t>
  </si>
  <si>
    <t>Receipts</t>
  </si>
  <si>
    <t>Interest</t>
  </si>
  <si>
    <t>Capex</t>
  </si>
  <si>
    <t>Operating ex working capital</t>
  </si>
  <si>
    <t xml:space="preserve">Operating </t>
  </si>
  <si>
    <t xml:space="preserve">Investing </t>
  </si>
  <si>
    <t xml:space="preserve">Free cashflow </t>
  </si>
  <si>
    <t xml:space="preserve">Capital </t>
  </si>
  <si>
    <t xml:space="preserve">  Cash</t>
  </si>
  <si>
    <t>Assets</t>
  </si>
  <si>
    <t>Depreciation &amp; provisions</t>
  </si>
  <si>
    <t xml:space="preserve">Other assets growth </t>
  </si>
  <si>
    <t>Liabilities growth</t>
  </si>
  <si>
    <t>Share price</t>
  </si>
  <si>
    <t>BNGA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</si>
</sst>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0%_);[Red]\(0%\)"/>
    <numFmt numFmtId="61" formatCode="#,##0.0%_);[Red]\(#,##0.0%\)"/>
    <numFmt numFmtId="62" formatCode="#,##0.0"/>
    <numFmt numFmtId="63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1" fontId="0" borderId="4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648436</xdr:colOff>
      <xdr:row>1</xdr:row>
      <xdr:rowOff>273273</xdr:rowOff>
    </xdr:from>
    <xdr:to>
      <xdr:col>13</xdr:col>
      <xdr:colOff>460451</xdr:colOff>
      <xdr:row>45</xdr:row>
      <xdr:rowOff>71216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388836" y="520923"/>
          <a:ext cx="8524216" cy="111263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1.8672" style="1" customWidth="1"/>
    <col min="2" max="2" width="18.0938" style="1" customWidth="1"/>
    <col min="3" max="6" width="8.75781" style="1" customWidth="1"/>
    <col min="7" max="16384" width="16.3516" style="1" customWidth="1"/>
  </cols>
  <sheetData>
    <row r="1" ht="19.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5"/>
      <c r="F3" s="5"/>
    </row>
    <row r="4" ht="20.3" customHeight="1">
      <c r="B4" t="s" s="6">
        <v>3</v>
      </c>
      <c r="C4" s="7">
        <f>AVERAGE('Sales'!I23:I26)</f>
        <v>0.0375537153600854</v>
      </c>
      <c r="D4" s="8"/>
      <c r="E4" s="8"/>
      <c r="F4" s="8">
        <f>AVERAGE(C5:F5)</f>
        <v>0.015</v>
      </c>
    </row>
    <row r="5" ht="20.1" customHeight="1">
      <c r="B5" t="s" s="9">
        <v>4</v>
      </c>
      <c r="C5" s="10">
        <v>-0.01</v>
      </c>
      <c r="D5" s="11">
        <v>0</v>
      </c>
      <c r="E5" s="11">
        <v>0.03</v>
      </c>
      <c r="F5" s="11">
        <v>0.04</v>
      </c>
    </row>
    <row r="6" ht="20.1" customHeight="1">
      <c r="B6" t="s" s="9">
        <v>5</v>
      </c>
      <c r="C6" s="12">
        <f>'Sales'!C26*(1+C5)</f>
        <v>5430.942</v>
      </c>
      <c r="D6" s="13">
        <f>C6*(1+D5)</f>
        <v>5430.942</v>
      </c>
      <c r="E6" s="13">
        <f>D6*(1+E5)</f>
        <v>5593.87026</v>
      </c>
      <c r="F6" s="13">
        <f>E6*(1+F5)</f>
        <v>5817.6250704</v>
      </c>
    </row>
    <row r="7" ht="20.1" customHeight="1">
      <c r="B7" t="s" s="9">
        <v>6</v>
      </c>
      <c r="C7" s="14">
        <f>AVERAGE('Sales'!J26)</f>
        <v>-0.61560756863174</v>
      </c>
      <c r="D7" s="15">
        <f>C7</f>
        <v>-0.61560756863174</v>
      </c>
      <c r="E7" s="15">
        <f>D7</f>
        <v>-0.61560756863174</v>
      </c>
      <c r="F7" s="15">
        <f>E7</f>
        <v>-0.61560756863174</v>
      </c>
    </row>
    <row r="8" ht="20.1" customHeight="1">
      <c r="B8" t="s" s="9">
        <v>7</v>
      </c>
      <c r="C8" s="16">
        <f>C7*C6</f>
        <v>-3343.329</v>
      </c>
      <c r="D8" s="17">
        <f>D7*D6</f>
        <v>-3343.329</v>
      </c>
      <c r="E8" s="17">
        <f>E7*E6</f>
        <v>-3443.62887</v>
      </c>
      <c r="F8" s="17">
        <f>F7*F6</f>
        <v>-3581.3740248</v>
      </c>
    </row>
    <row r="9" ht="20.1" customHeight="1">
      <c r="B9" t="s" s="9">
        <v>8</v>
      </c>
      <c r="C9" s="16">
        <f>C6+C8</f>
        <v>2087.613</v>
      </c>
      <c r="D9" s="17">
        <f>D6+D8</f>
        <v>2087.613</v>
      </c>
      <c r="E9" s="17">
        <f>E6+E8</f>
        <v>2150.24139</v>
      </c>
      <c r="F9" s="17">
        <f>F6+F8</f>
        <v>2236.2510456</v>
      </c>
    </row>
    <row r="10" ht="20.05" customHeight="1">
      <c r="B10" t="s" s="9">
        <v>9</v>
      </c>
      <c r="C10" s="16">
        <f>AVERAGE('Cashflow'!E26)</f>
        <v>-0.5</v>
      </c>
      <c r="D10" s="17">
        <f>C10</f>
        <v>-0.5</v>
      </c>
      <c r="E10" s="17">
        <f>D10</f>
        <v>-0.5</v>
      </c>
      <c r="F10" s="17">
        <f>E10</f>
        <v>-0.5</v>
      </c>
    </row>
    <row r="11" ht="20.1" customHeight="1">
      <c r="B11" t="s" s="9">
        <v>10</v>
      </c>
      <c r="C11" s="16">
        <f>C12+C14</f>
        <v>-298.8939</v>
      </c>
      <c r="D11" s="17">
        <f>D12+D14</f>
        <v>-298.8939</v>
      </c>
      <c r="E11" s="17">
        <f>E12+E14</f>
        <v>-317.682417</v>
      </c>
      <c r="F11" s="17">
        <f>F12+F14</f>
        <v>-343.48531368</v>
      </c>
    </row>
    <row r="12" ht="20.1" customHeight="1">
      <c r="B12" t="s" s="9">
        <v>11</v>
      </c>
      <c r="C12" s="18">
        <f>IF(C21&gt;0,-C21*0.3,0)</f>
        <v>-298.8939</v>
      </c>
      <c r="D12" s="19">
        <f>IF(D21&gt;0,-D21*0.3,0)</f>
        <v>-298.8939</v>
      </c>
      <c r="E12" s="19">
        <f>IF(E21&gt;0,-E21*0.3,0)</f>
        <v>-317.682417</v>
      </c>
      <c r="F12" s="19">
        <f>IF(F21&gt;0,-F21*0.3,0)</f>
        <v>-343.48531368</v>
      </c>
    </row>
    <row r="13" ht="20.05" customHeight="1">
      <c r="B13" t="s" s="9">
        <v>12</v>
      </c>
      <c r="C13" s="16">
        <f>C9+C10+C12</f>
        <v>1788.2191</v>
      </c>
      <c r="D13" s="17">
        <f>D9+D10+D12</f>
        <v>1788.2191</v>
      </c>
      <c r="E13" s="17">
        <f>E9+E10+E12</f>
        <v>1832.058973</v>
      </c>
      <c r="F13" s="17">
        <f>F9+F10+F12</f>
        <v>1892.26573192</v>
      </c>
    </row>
    <row r="14" ht="20.1" customHeight="1">
      <c r="B14" t="s" s="9">
        <v>13</v>
      </c>
      <c r="C14" s="16">
        <f>-MIN(0,C13)</f>
        <v>0</v>
      </c>
      <c r="D14" s="17">
        <f>-MIN(C27,D13)</f>
        <v>0</v>
      </c>
      <c r="E14" s="17">
        <f>-MIN(D27,E13)</f>
        <v>0</v>
      </c>
      <c r="F14" s="17">
        <f>-MIN(E27,F13)</f>
        <v>0</v>
      </c>
    </row>
    <row r="15" ht="20.1" customHeight="1">
      <c r="B15" t="s" s="9">
        <v>14</v>
      </c>
      <c r="C15" s="16">
        <f>'Balance Sheet '!C26</f>
        <v>3042</v>
      </c>
      <c r="D15" s="17">
        <f>C17</f>
        <v>4830.2191</v>
      </c>
      <c r="E15" s="17">
        <f>D17</f>
        <v>6618.4382</v>
      </c>
      <c r="F15" s="17">
        <f>E17</f>
        <v>8450.497173</v>
      </c>
    </row>
    <row r="16" ht="20.1" customHeight="1">
      <c r="B16" t="s" s="9">
        <v>15</v>
      </c>
      <c r="C16" s="16">
        <f>C9+C10+C11</f>
        <v>1788.2191</v>
      </c>
      <c r="D16" s="17">
        <f>D9+D10+D11</f>
        <v>1788.2191</v>
      </c>
      <c r="E16" s="17">
        <f>E9+E10+E11</f>
        <v>1832.058973</v>
      </c>
      <c r="F16" s="17">
        <f>F9+F10+F11</f>
        <v>1892.26573192</v>
      </c>
    </row>
    <row r="17" ht="20.1" customHeight="1">
      <c r="B17" t="s" s="9">
        <v>16</v>
      </c>
      <c r="C17" s="16">
        <f>C15+C16</f>
        <v>4830.2191</v>
      </c>
      <c r="D17" s="17">
        <f>D15+D16</f>
        <v>6618.4382</v>
      </c>
      <c r="E17" s="17">
        <f>E15+E16</f>
        <v>8450.497173</v>
      </c>
      <c r="F17" s="17">
        <f>F15+F16</f>
        <v>10342.76290492</v>
      </c>
    </row>
    <row r="18" ht="20.1" customHeight="1">
      <c r="B18" t="s" s="20">
        <v>17</v>
      </c>
      <c r="C18" s="21"/>
      <c r="D18" s="22"/>
      <c r="E18" s="22"/>
      <c r="F18" s="22"/>
    </row>
    <row r="19" ht="20.1" customHeight="1">
      <c r="B19" t="s" s="9">
        <v>18</v>
      </c>
      <c r="C19" s="16">
        <f>-AVERAGE('Sales'!F26)</f>
        <v>-143.3</v>
      </c>
      <c r="D19" s="17">
        <f>C19</f>
        <v>-143.3</v>
      </c>
      <c r="E19" s="17">
        <f>D19</f>
        <v>-143.3</v>
      </c>
      <c r="F19" s="17">
        <f>E19</f>
        <v>-143.3</v>
      </c>
    </row>
    <row r="20" ht="20.1" customHeight="1">
      <c r="B20" t="s" s="9">
        <v>19</v>
      </c>
      <c r="C20" s="16">
        <f>-AVERAGE('Sales'!E26)</f>
        <v>-948</v>
      </c>
      <c r="D20" s="17">
        <f>C20</f>
        <v>-948</v>
      </c>
      <c r="E20" s="17">
        <f>D20</f>
        <v>-948</v>
      </c>
      <c r="F20" s="17">
        <f>E20</f>
        <v>-948</v>
      </c>
    </row>
    <row r="21" ht="20.1" customHeight="1">
      <c r="B21" t="s" s="9">
        <v>20</v>
      </c>
      <c r="C21" s="16">
        <f>C6+C8+C19+C20</f>
        <v>996.313</v>
      </c>
      <c r="D21" s="17">
        <f>D6+D8+D19+D20</f>
        <v>996.313</v>
      </c>
      <c r="E21" s="17">
        <f>E6+E8+E19+E20</f>
        <v>1058.94139</v>
      </c>
      <c r="F21" s="17">
        <f>F6+F8+F19+F20</f>
        <v>1144.9510456</v>
      </c>
    </row>
    <row r="22" ht="20.1" customHeight="1">
      <c r="B22" t="s" s="20">
        <v>21</v>
      </c>
      <c r="C22" s="21"/>
      <c r="D22" s="22"/>
      <c r="E22" s="17"/>
      <c r="F22" s="22"/>
    </row>
    <row r="23" ht="20.1" customHeight="1">
      <c r="B23" t="s" s="9">
        <v>22</v>
      </c>
      <c r="C23" s="16">
        <f>'Balance Sheet '!E26+'Balance Sheet '!F26-C10</f>
        <v>310155.5</v>
      </c>
      <c r="D23" s="17">
        <f>C23-D10</f>
        <v>310156</v>
      </c>
      <c r="E23" s="17">
        <f>D23-E10</f>
        <v>310156.5</v>
      </c>
      <c r="F23" s="17">
        <f>E23-F10</f>
        <v>310157</v>
      </c>
    </row>
    <row r="24" ht="20.1" customHeight="1">
      <c r="B24" t="s" s="9">
        <v>18</v>
      </c>
      <c r="C24" s="16">
        <f>'Balance Sheet '!F26-C19-C20</f>
        <v>18892.3</v>
      </c>
      <c r="D24" s="17">
        <f>C24-D19-D20</f>
        <v>19983.6</v>
      </c>
      <c r="E24" s="17">
        <f>D24-E19-E20</f>
        <v>21074.9</v>
      </c>
      <c r="F24" s="17">
        <f>E24-F19-F20</f>
        <v>22166.2</v>
      </c>
    </row>
    <row r="25" ht="20.1" customHeight="1">
      <c r="B25" t="s" s="9">
        <v>23</v>
      </c>
      <c r="C25" s="16">
        <f>C23-C24</f>
        <v>291263.2</v>
      </c>
      <c r="D25" s="17">
        <f>D23-D24</f>
        <v>290172.4</v>
      </c>
      <c r="E25" s="17">
        <f>E23-E24</f>
        <v>289081.6</v>
      </c>
      <c r="F25" s="17">
        <f>F23-F24</f>
        <v>287990.8</v>
      </c>
    </row>
    <row r="26" ht="20.1" customHeight="1">
      <c r="B26" t="s" s="9">
        <v>24</v>
      </c>
      <c r="C26" s="16">
        <f>'Balance Sheet '!G26</f>
        <v>252855</v>
      </c>
      <c r="D26" s="17">
        <f>C26</f>
        <v>252855</v>
      </c>
      <c r="E26" s="17">
        <f>D26</f>
        <v>252855</v>
      </c>
      <c r="F26" s="17">
        <f>E26</f>
        <v>252855</v>
      </c>
    </row>
    <row r="27" ht="20.1" customHeight="1">
      <c r="B27" t="s" s="9">
        <v>13</v>
      </c>
      <c r="C27" s="16">
        <f>C14</f>
        <v>0</v>
      </c>
      <c r="D27" s="17">
        <f>C27+D14</f>
        <v>0</v>
      </c>
      <c r="E27" s="17">
        <f>D27+E14</f>
        <v>0</v>
      </c>
      <c r="F27" s="17">
        <f>E27+F14</f>
        <v>0</v>
      </c>
    </row>
    <row r="28" ht="20.1" customHeight="1">
      <c r="B28" t="s" s="9">
        <v>25</v>
      </c>
      <c r="C28" s="16">
        <f>'Balance Sheet '!H26+C21+C12</f>
        <v>43238.4191</v>
      </c>
      <c r="D28" s="17">
        <f>C28+D21+D12</f>
        <v>43935.8382</v>
      </c>
      <c r="E28" s="17">
        <f>D28+E21+E12</f>
        <v>44677.097173</v>
      </c>
      <c r="F28" s="17">
        <f>E28+F21+F12</f>
        <v>45478.56290492</v>
      </c>
    </row>
    <row r="29" ht="20.1" customHeight="1">
      <c r="B29" t="s" s="9">
        <v>26</v>
      </c>
      <c r="C29" s="16">
        <f>C26+C27+C28-C17-C25</f>
        <v>0</v>
      </c>
      <c r="D29" s="17">
        <f>D26+D27+D28-D17-D25</f>
        <v>0</v>
      </c>
      <c r="E29" s="17">
        <f>E26+E27+E28-E17-E25</f>
        <v>0</v>
      </c>
      <c r="F29" s="17">
        <f>F26+F27+F28-F17-F25</f>
        <v>0</v>
      </c>
    </row>
    <row r="30" ht="20.1" customHeight="1">
      <c r="B30" t="s" s="20">
        <v>27</v>
      </c>
      <c r="C30" s="16"/>
      <c r="D30" s="17"/>
      <c r="E30" s="17"/>
      <c r="F30" s="17"/>
    </row>
    <row r="31" ht="20.1" customHeight="1">
      <c r="B31" t="s" s="9">
        <v>28</v>
      </c>
      <c r="C31" s="16">
        <f>'Cashflow'!L26-C11</f>
        <v>-994.7061</v>
      </c>
      <c r="D31" s="17">
        <f>C31-D11</f>
        <v>-695.8122</v>
      </c>
      <c r="E31" s="17">
        <f>D31-E11</f>
        <v>-378.129783</v>
      </c>
      <c r="F31" s="17">
        <f>E31-F11</f>
        <v>-34.64446932</v>
      </c>
    </row>
    <row r="32" ht="20.1" customHeight="1">
      <c r="B32" t="s" s="9">
        <v>29</v>
      </c>
      <c r="C32" s="16"/>
      <c r="D32" s="17"/>
      <c r="E32" s="17"/>
      <c r="F32" s="17">
        <v>26380</v>
      </c>
    </row>
    <row r="33" ht="20.1" customHeight="1">
      <c r="B33" t="s" s="9">
        <v>30</v>
      </c>
      <c r="C33" s="16"/>
      <c r="D33" s="17"/>
      <c r="E33" s="17"/>
      <c r="F33" s="23">
        <f>F32/(C6+D6+E6+F6)</f>
        <v>1.18437348947742</v>
      </c>
    </row>
    <row r="34" ht="20.1" customHeight="1">
      <c r="B34" t="s" s="9">
        <v>31</v>
      </c>
      <c r="C34" s="16"/>
      <c r="D34" s="17"/>
      <c r="E34" s="17"/>
      <c r="F34" s="23">
        <f>F32/(F17+F25)</f>
        <v>0.0884245129617126</v>
      </c>
    </row>
    <row r="35" ht="20.1" customHeight="1">
      <c r="B35" t="s" s="9">
        <v>32</v>
      </c>
      <c r="C35" s="16"/>
      <c r="D35" s="17"/>
      <c r="E35" s="17"/>
      <c r="F35" s="15">
        <f>-(C12+D12+E12+F12)/F32</f>
        <v>0.0477238639378317</v>
      </c>
    </row>
    <row r="36" ht="20.1" customHeight="1">
      <c r="B36" t="s" s="9">
        <v>3</v>
      </c>
      <c r="C36" s="16"/>
      <c r="D36" s="17"/>
      <c r="E36" s="17"/>
      <c r="F36" s="17">
        <f>SUM(C9:F10)</f>
        <v>8559.7184356</v>
      </c>
    </row>
    <row r="37" ht="20.1" customHeight="1">
      <c r="B37" t="s" s="9">
        <v>27</v>
      </c>
      <c r="C37" s="16"/>
      <c r="D37" s="17"/>
      <c r="E37" s="17"/>
      <c r="F37" s="17">
        <f>F32/F36</f>
        <v>3.08187707323236</v>
      </c>
    </row>
    <row r="38" ht="20.1" customHeight="1">
      <c r="B38" t="s" s="9">
        <v>33</v>
      </c>
      <c r="C38" s="16"/>
      <c r="D38" s="17"/>
      <c r="E38" s="17"/>
      <c r="F38" s="17">
        <v>6</v>
      </c>
    </row>
    <row r="39" ht="20.1" customHeight="1">
      <c r="B39" t="s" s="9">
        <v>34</v>
      </c>
      <c r="C39" s="16"/>
      <c r="D39" s="17"/>
      <c r="E39" s="17"/>
      <c r="F39" s="17">
        <f>F36*F38</f>
        <v>51358.3106136</v>
      </c>
    </row>
    <row r="40" ht="20.1" customHeight="1">
      <c r="B40" t="s" s="9">
        <v>35</v>
      </c>
      <c r="C40" s="16"/>
      <c r="D40" s="17"/>
      <c r="E40" s="17"/>
      <c r="F40" s="17">
        <f>F32/F42</f>
        <v>25.0047393364929</v>
      </c>
    </row>
    <row r="41" ht="20.1" customHeight="1">
      <c r="B41" t="s" s="9">
        <v>36</v>
      </c>
      <c r="C41" s="16"/>
      <c r="D41" s="17"/>
      <c r="E41" s="17"/>
      <c r="F41" s="17">
        <f>F39/F40</f>
        <v>2053.943051453680</v>
      </c>
    </row>
    <row r="42" ht="20.1" customHeight="1">
      <c r="B42" t="s" s="9">
        <v>37</v>
      </c>
      <c r="C42" s="16"/>
      <c r="D42" s="17"/>
      <c r="E42" s="17"/>
      <c r="F42" s="17">
        <f>'Share price'!C74</f>
        <v>1055</v>
      </c>
    </row>
    <row r="43" ht="20.1" customHeight="1">
      <c r="B43" t="s" s="9">
        <v>38</v>
      </c>
      <c r="C43" s="16"/>
      <c r="D43" s="17"/>
      <c r="E43" s="17"/>
      <c r="F43" s="15">
        <f>F41/F42-1</f>
        <v>0.946865451614863</v>
      </c>
    </row>
    <row r="44" ht="20.1" customHeight="1">
      <c r="B44" t="s" s="9">
        <v>39</v>
      </c>
      <c r="C44" s="16"/>
      <c r="D44" s="17"/>
      <c r="E44" s="17"/>
      <c r="F44" s="15">
        <f>'Sales'!C26/'Sales'!C22-1</f>
        <v>0.0780568329206462</v>
      </c>
    </row>
    <row r="45" ht="20.1" customHeight="1">
      <c r="B45" t="s" s="9">
        <v>40</v>
      </c>
      <c r="C45" s="16"/>
      <c r="D45" s="17"/>
      <c r="E45" s="17"/>
      <c r="F45" s="15">
        <f>('Sales'!D24+'Sales'!D25+'Sales'!D26)/('Sales'!C24+'Sales'!C25+'Sales'!C26)-1</f>
        <v>0.0137203222151742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5312" style="24" customWidth="1"/>
    <col min="2" max="2" width="9.92969" style="24" customWidth="1"/>
    <col min="3" max="5" width="9.30469" style="24" customWidth="1"/>
    <col min="6" max="6" width="12.2266" style="24" customWidth="1"/>
    <col min="7" max="10" width="10.5312" style="24" customWidth="1"/>
    <col min="11" max="16384" width="16.3516" style="24" customWidth="1"/>
  </cols>
  <sheetData>
    <row r="1" ht="34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41</v>
      </c>
      <c r="E3" t="s" s="4">
        <v>42</v>
      </c>
      <c r="F3" t="s" s="4">
        <v>18</v>
      </c>
      <c r="G3" t="s" s="4">
        <v>43</v>
      </c>
      <c r="H3" t="s" s="4">
        <v>44</v>
      </c>
      <c r="I3" t="s" s="4">
        <v>45</v>
      </c>
      <c r="J3" t="s" s="4">
        <v>6</v>
      </c>
    </row>
    <row r="4" ht="20.25" customHeight="1">
      <c r="B4" s="25">
        <v>2016</v>
      </c>
      <c r="C4" s="26">
        <v>5394.4</v>
      </c>
      <c r="D4" s="27"/>
      <c r="E4" s="27">
        <v>1330.37</v>
      </c>
      <c r="F4" s="27">
        <v>113.6</v>
      </c>
      <c r="G4" s="27">
        <v>268.68</v>
      </c>
      <c r="H4" s="28">
        <f>C4/'Balance Sheet '!E4</f>
        <v>0.0236282484242432</v>
      </c>
      <c r="I4" s="29"/>
      <c r="J4" s="30">
        <f>(G4+F4+E4-C4)/C4</f>
        <v>-0.682513347174848</v>
      </c>
    </row>
    <row r="5" ht="20.05" customHeight="1">
      <c r="B5" s="31"/>
      <c r="C5" s="16">
        <v>5221.6</v>
      </c>
      <c r="D5" s="13"/>
      <c r="E5" s="13">
        <v>1203.93</v>
      </c>
      <c r="F5" s="13">
        <v>146.8</v>
      </c>
      <c r="G5" s="13">
        <v>467.32</v>
      </c>
      <c r="H5" s="32">
        <f>C5/'Balance Sheet '!E5</f>
        <v>0.0221936032302625</v>
      </c>
      <c r="I5" s="15">
        <f>C5/C4-1</f>
        <v>-0.0320332196351772</v>
      </c>
      <c r="J5" s="15">
        <f>(G5+F5+E5-C5)/C5</f>
        <v>-0.651821280833461</v>
      </c>
    </row>
    <row r="6" ht="20.05" customHeight="1">
      <c r="B6" s="31"/>
      <c r="C6" s="16">
        <v>5379</v>
      </c>
      <c r="D6" s="13"/>
      <c r="E6" s="13">
        <v>1134.86</v>
      </c>
      <c r="F6" s="13">
        <v>116.8</v>
      </c>
      <c r="G6" s="13">
        <v>562.9</v>
      </c>
      <c r="H6" s="32">
        <f>C6/'Balance Sheet '!E6</f>
        <v>0.0230111740447304</v>
      </c>
      <c r="I6" s="15">
        <f>C6/C5-1</f>
        <v>0.0301440171594913</v>
      </c>
      <c r="J6" s="15">
        <f>(G6+F6+E6-C6)/C6</f>
        <v>-0.662658486707566</v>
      </c>
    </row>
    <row r="7" ht="20.05" customHeight="1">
      <c r="B7" s="31"/>
      <c r="C7" s="16">
        <v>5329.6</v>
      </c>
      <c r="D7" s="13"/>
      <c r="E7" s="13">
        <v>1303.74</v>
      </c>
      <c r="F7" s="13">
        <v>169</v>
      </c>
      <c r="G7" s="13">
        <v>782.8</v>
      </c>
      <c r="H7" s="32">
        <f>C7/'Balance Sheet '!E7</f>
        <v>0.0223641475389199</v>
      </c>
      <c r="I7" s="15">
        <f>C7/C6-1</f>
        <v>-0.00918386317159323</v>
      </c>
      <c r="J7" s="15">
        <f>(G7+F7+E7-C7)/C7</f>
        <v>-0.576790003002101</v>
      </c>
    </row>
    <row r="8" ht="20.05" customHeight="1">
      <c r="B8" s="33">
        <v>2017</v>
      </c>
      <c r="C8" s="16">
        <v>5079.36</v>
      </c>
      <c r="D8" s="13"/>
      <c r="E8" s="13">
        <v>1079</v>
      </c>
      <c r="F8" s="13">
        <v>143.1</v>
      </c>
      <c r="G8" s="13">
        <v>639.5</v>
      </c>
      <c r="H8" s="32">
        <f>C8/'Balance Sheet '!E8</f>
        <v>0.0217423464146291</v>
      </c>
      <c r="I8" s="15">
        <f>C8/C7-1</f>
        <v>-0.0469528670069048</v>
      </c>
      <c r="J8" s="15">
        <f>(G8+F8+E8-C8)/C8</f>
        <v>-0.633497133497133</v>
      </c>
    </row>
    <row r="9" ht="20.05" customHeight="1">
      <c r="B9" s="31"/>
      <c r="C9" s="16">
        <v>5101.44</v>
      </c>
      <c r="D9" s="13"/>
      <c r="E9" s="13">
        <v>1048.9</v>
      </c>
      <c r="F9" s="13">
        <v>142.8</v>
      </c>
      <c r="G9" s="13">
        <v>740.7</v>
      </c>
      <c r="H9" s="32">
        <f>C9/'Balance Sheet '!E9</f>
        <v>0.0215769572389291</v>
      </c>
      <c r="I9" s="15">
        <f>C9/C8-1</f>
        <v>0.00434700434700435</v>
      </c>
      <c r="J9" s="15">
        <f>(G9+F9+E9-C9)/C9</f>
        <v>-0.621204993099987</v>
      </c>
    </row>
    <row r="10" ht="20.05" customHeight="1">
      <c r="B10" s="31"/>
      <c r="C10" s="16">
        <v>5120.4</v>
      </c>
      <c r="D10" s="13"/>
      <c r="E10" s="13">
        <v>1029.1</v>
      </c>
      <c r="F10" s="13">
        <v>141.8</v>
      </c>
      <c r="G10" s="13">
        <v>816.8</v>
      </c>
      <c r="H10" s="32">
        <f>C10/'Balance Sheet '!E10</f>
        <v>0.0205617909848409</v>
      </c>
      <c r="I10" s="15">
        <f>C10/C9-1</f>
        <v>0.00371659766654121</v>
      </c>
      <c r="J10" s="15">
        <f>(G10+F10+E10-C10)/C10</f>
        <v>-0.611807671275682</v>
      </c>
    </row>
    <row r="11" ht="20.05" customHeight="1">
      <c r="B11" s="31"/>
      <c r="C11" s="16">
        <v>5102.1</v>
      </c>
      <c r="D11" s="13"/>
      <c r="E11" s="13">
        <v>922.8</v>
      </c>
      <c r="F11" s="13">
        <v>141.6</v>
      </c>
      <c r="G11" s="13">
        <v>780.7</v>
      </c>
      <c r="H11" s="32">
        <f>C11/'Balance Sheet '!E11</f>
        <v>0.019443311776654</v>
      </c>
      <c r="I11" s="15">
        <f>C11/C10-1</f>
        <v>-0.00357393953597375</v>
      </c>
      <c r="J11" s="15">
        <f>(G11+F11+E11-C11)/C11</f>
        <v>-0.638364594970698</v>
      </c>
    </row>
    <row r="12" ht="20.05" customHeight="1">
      <c r="B12" s="33">
        <v>2018</v>
      </c>
      <c r="C12" s="16">
        <v>5009.58</v>
      </c>
      <c r="D12" s="13"/>
      <c r="E12" s="13">
        <v>849.8</v>
      </c>
      <c r="F12" s="13">
        <v>145.4</v>
      </c>
      <c r="G12" s="13">
        <v>876.7</v>
      </c>
      <c r="H12" s="32">
        <f>C12/'Balance Sheet '!E12</f>
        <v>0.0197026653923755</v>
      </c>
      <c r="I12" s="15">
        <f>C12/C11-1</f>
        <v>-0.0181337096489681</v>
      </c>
      <c r="J12" s="15">
        <f>(G12+F12+E12-C12)/C12</f>
        <v>-0.626335940338312</v>
      </c>
    </row>
    <row r="13" ht="20.05" customHeight="1">
      <c r="B13" s="31"/>
      <c r="C13" s="16">
        <v>4946.02</v>
      </c>
      <c r="D13" s="13"/>
      <c r="E13" s="13">
        <v>701.9</v>
      </c>
      <c r="F13" s="13">
        <v>139.3</v>
      </c>
      <c r="G13" s="13">
        <v>891.1</v>
      </c>
      <c r="H13" s="32">
        <f>C13/'Balance Sheet '!E13</f>
        <v>0.0193249954090623</v>
      </c>
      <c r="I13" s="15">
        <f>C13/C12-1</f>
        <v>-0.0126876903852219</v>
      </c>
      <c r="J13" s="15">
        <f>(G13+F13+E13-C13)/C13</f>
        <v>-0.649758795961197</v>
      </c>
    </row>
    <row r="14" ht="20.05" customHeight="1">
      <c r="B14" s="31"/>
      <c r="C14" s="16">
        <v>5108.7</v>
      </c>
      <c r="D14" s="13"/>
      <c r="E14" s="13">
        <v>758</v>
      </c>
      <c r="F14" s="13">
        <v>139.6</v>
      </c>
      <c r="G14" s="13">
        <v>824</v>
      </c>
      <c r="H14" s="32">
        <f>C14/'Balance Sheet '!E14</f>
        <v>0.019846162811025</v>
      </c>
      <c r="I14" s="15">
        <f>C14/C13-1</f>
        <v>0.0328910922317338</v>
      </c>
      <c r="J14" s="15">
        <f>(G14+F14+E14-C14)/C14</f>
        <v>-0.663006244250005</v>
      </c>
    </row>
    <row r="15" ht="20.05" customHeight="1">
      <c r="B15" s="31"/>
      <c r="C15" s="16">
        <v>5228.9</v>
      </c>
      <c r="D15" s="13"/>
      <c r="E15" s="13">
        <v>719.8</v>
      </c>
      <c r="F15" s="13">
        <v>138.3</v>
      </c>
      <c r="G15" s="13">
        <v>890.6</v>
      </c>
      <c r="H15" s="32">
        <f>C15/'Balance Sheet '!E15</f>
        <v>0.0199205297004054</v>
      </c>
      <c r="I15" s="15">
        <f>C15/C14-1</f>
        <v>0.0235284906140505</v>
      </c>
      <c r="J15" s="15">
        <f>(G15+F15+E15-C15)/C15</f>
        <v>-0.665570196408422</v>
      </c>
    </row>
    <row r="16" ht="20.05" customHeight="1">
      <c r="B16" s="33">
        <v>2019</v>
      </c>
      <c r="C16" s="16">
        <v>5249.6</v>
      </c>
      <c r="D16" s="13"/>
      <c r="E16" s="13">
        <v>712.3</v>
      </c>
      <c r="F16" s="13">
        <v>141.5</v>
      </c>
      <c r="G16" s="13">
        <v>944</v>
      </c>
      <c r="H16" s="32">
        <f>C16/'Balance Sheet '!E16</f>
        <v>0.0202429337138009</v>
      </c>
      <c r="I16" s="15">
        <f>C16/C15-1</f>
        <v>0.00395876761842835</v>
      </c>
      <c r="J16" s="15">
        <f>(G16+F16+E16-C16)/C16</f>
        <v>-0.657535812252362</v>
      </c>
    </row>
    <row r="17" ht="20.05" customHeight="1">
      <c r="B17" s="31"/>
      <c r="C17" s="16">
        <v>5573.1</v>
      </c>
      <c r="D17" s="13"/>
      <c r="E17" s="13">
        <v>809.1</v>
      </c>
      <c r="F17" s="13">
        <v>152.1</v>
      </c>
      <c r="G17" s="13">
        <v>1032.4</v>
      </c>
      <c r="H17" s="32">
        <f>C17/'Balance Sheet '!E17</f>
        <v>0.020780316140009</v>
      </c>
      <c r="I17" s="15">
        <f>C17/C16-1</f>
        <v>0.0616237427613532</v>
      </c>
      <c r="J17" s="15">
        <f>(G17+F17+E17-C17)/C17</f>
        <v>-0.642281674472017</v>
      </c>
    </row>
    <row r="18" ht="20.05" customHeight="1">
      <c r="B18" s="31"/>
      <c r="C18" s="16">
        <v>5479.5</v>
      </c>
      <c r="D18" s="13"/>
      <c r="E18" s="13">
        <v>944.4</v>
      </c>
      <c r="F18" s="13">
        <v>117.1</v>
      </c>
      <c r="G18" s="13">
        <v>700.9</v>
      </c>
      <c r="H18" s="32">
        <f>C18/'Balance Sheet '!E18</f>
        <v>0.0211442066147274</v>
      </c>
      <c r="I18" s="15">
        <f>C18/C17-1</f>
        <v>-0.0167949615115465</v>
      </c>
      <c r="J18" s="15">
        <f>(G18+F18+E18-C18)/C18</f>
        <v>-0.678364814307875</v>
      </c>
    </row>
    <row r="19" ht="20.05" customHeight="1">
      <c r="B19" s="31"/>
      <c r="C19" s="16">
        <v>5387.2</v>
      </c>
      <c r="D19" s="34"/>
      <c r="E19" s="13">
        <v>790.8</v>
      </c>
      <c r="F19" s="13">
        <v>119.8</v>
      </c>
      <c r="G19" s="13">
        <v>965.6</v>
      </c>
      <c r="H19" s="32">
        <f>C19/'Balance Sheet '!E19</f>
        <v>0.0199397425362914</v>
      </c>
      <c r="I19" s="15">
        <f>C19/C18-1</f>
        <v>-0.0168446026097272</v>
      </c>
      <c r="J19" s="15">
        <f>(G19+F19+E19-C19)/C19</f>
        <v>-0.651730026730027</v>
      </c>
    </row>
    <row r="20" ht="20.05" customHeight="1">
      <c r="B20" s="33">
        <v>2020</v>
      </c>
      <c r="C20" s="16">
        <v>5291.1</v>
      </c>
      <c r="D20" s="34"/>
      <c r="E20" s="13">
        <v>774.1</v>
      </c>
      <c r="F20" s="13">
        <v>143.4</v>
      </c>
      <c r="G20" s="13">
        <v>1055</v>
      </c>
      <c r="H20" s="32">
        <f>C20/'Balance Sheet '!E20</f>
        <v>0.0196529322839091</v>
      </c>
      <c r="I20" s="15">
        <f>C20/C19-1</f>
        <v>-0.0178385803385803</v>
      </c>
      <c r="J20" s="15">
        <f>(G20+F20+E20-C20)/C20</f>
        <v>-0.627204173045302</v>
      </c>
    </row>
    <row r="21" ht="20.05" customHeight="1">
      <c r="B21" s="31"/>
      <c r="C21" s="16">
        <v>5209.5</v>
      </c>
      <c r="D21" s="34"/>
      <c r="E21" s="13">
        <v>1277.2</v>
      </c>
      <c r="F21" s="13">
        <v>252.3</v>
      </c>
      <c r="G21" s="13">
        <v>689.2</v>
      </c>
      <c r="H21" s="32">
        <f>C21/'Balance Sheet '!E21</f>
        <v>0.0192630528028398</v>
      </c>
      <c r="I21" s="15">
        <f>C21/C20-1</f>
        <v>-0.0154221239439814</v>
      </c>
      <c r="J21" s="15">
        <f>(G21+F21+E21-C21)/C21</f>
        <v>-0.574105000479893</v>
      </c>
    </row>
    <row r="22" ht="20.05" customHeight="1">
      <c r="B22" s="31"/>
      <c r="C22" s="16">
        <v>5088.6</v>
      </c>
      <c r="D22" s="34"/>
      <c r="E22" s="13">
        <v>1602.2</v>
      </c>
      <c r="F22" s="13">
        <v>39.7</v>
      </c>
      <c r="G22" s="13">
        <v>119.3</v>
      </c>
      <c r="H22" s="32">
        <f>C22/'Balance Sheet '!E22</f>
        <v>0.0183062920459042</v>
      </c>
      <c r="I22" s="15">
        <f>C22/C21-1</f>
        <v>-0.0232076014972646</v>
      </c>
      <c r="J22" s="15">
        <f>(G22+F22+E22-C22)/C22</f>
        <v>-0.65389301576072</v>
      </c>
    </row>
    <row r="23" ht="20.05" customHeight="1">
      <c r="B23" s="31"/>
      <c r="C23" s="16">
        <v>5113.8</v>
      </c>
      <c r="D23" s="34"/>
      <c r="E23" s="13">
        <v>1750.4</v>
      </c>
      <c r="F23" s="13">
        <v>156.6</v>
      </c>
      <c r="G23" s="13">
        <v>147.7</v>
      </c>
      <c r="H23" s="32">
        <f>C23/'Balance Sheet '!E23</f>
        <v>0.0185170567084409</v>
      </c>
      <c r="I23" s="15">
        <f>C23/C22-1</f>
        <v>0.00495224619738238</v>
      </c>
      <c r="J23" s="15">
        <f>(G23+F23+E23-C23)/C23</f>
        <v>-0.598204857444562</v>
      </c>
    </row>
    <row r="24" ht="20.05" customHeight="1">
      <c r="B24" s="33">
        <v>2021</v>
      </c>
      <c r="C24" s="16">
        <f>3966+807.2+530.4</f>
        <v>5303.6</v>
      </c>
      <c r="D24" s="13">
        <v>5115.503</v>
      </c>
      <c r="E24" s="13">
        <v>1255.8</v>
      </c>
      <c r="F24" s="17">
        <f>44.8+108.2+66.3</f>
        <v>219.3</v>
      </c>
      <c r="G24" s="17">
        <v>995.8</v>
      </c>
      <c r="H24" s="32">
        <v>0.019</v>
      </c>
      <c r="I24" s="15">
        <f>C24/C23-1</f>
        <v>0.0371152567562282</v>
      </c>
      <c r="J24" s="15">
        <f>(G24+F24+E24-C24)/C24</f>
        <v>-0.534108907157403</v>
      </c>
    </row>
    <row r="25" ht="20.05" customHeight="1">
      <c r="B25" s="31"/>
      <c r="C25" s="16">
        <f>7960.8+1464.2-C24</f>
        <v>4121.4</v>
      </c>
      <c r="D25" s="13">
        <v>5466.337980486020</v>
      </c>
      <c r="E25" s="13">
        <f>2155-E24</f>
        <v>899.2</v>
      </c>
      <c r="F25" s="13">
        <f>132+215.5+92-F24</f>
        <v>220.2</v>
      </c>
      <c r="G25" s="17">
        <f>2131.8-G24</f>
        <v>1136</v>
      </c>
      <c r="H25" s="32">
        <v>0.019</v>
      </c>
      <c r="I25" s="15">
        <f>C25/C24-1</f>
        <v>-0.222905196470322</v>
      </c>
      <c r="J25" s="15">
        <f>(G25+F25+E25-C25)/C25</f>
        <v>-0.452758771291309</v>
      </c>
    </row>
    <row r="26" ht="20.05" customHeight="1">
      <c r="B26" s="31"/>
      <c r="C26" s="16">
        <f>3985.3+819.1+681.4</f>
        <v>5485.8</v>
      </c>
      <c r="D26" s="13">
        <v>4533.54</v>
      </c>
      <c r="E26" s="17">
        <v>948</v>
      </c>
      <c r="F26" s="13">
        <f>382.2+200.6-SUM(F24:F25)</f>
        <v>143.3</v>
      </c>
      <c r="G26" s="17">
        <v>1017.4</v>
      </c>
      <c r="H26" s="32">
        <v>0.019</v>
      </c>
      <c r="I26" s="15">
        <f>C26/C25-1</f>
        <v>0.331052554957053</v>
      </c>
      <c r="J26" s="15">
        <f>(G26+F26+E26-C26)/C26</f>
        <v>-0.61560756863174</v>
      </c>
    </row>
    <row r="27" ht="20.05" customHeight="1">
      <c r="B27" s="31"/>
      <c r="C27" s="16"/>
      <c r="D27" s="13">
        <f>'Model'!C6</f>
        <v>5430.942</v>
      </c>
      <c r="E27" s="13"/>
      <c r="F27" s="13"/>
      <c r="G27" s="34"/>
      <c r="H27" s="32"/>
      <c r="I27" s="11"/>
      <c r="J27" s="15">
        <f>'Model'!C7</f>
        <v>-0.61560756863174</v>
      </c>
    </row>
    <row r="28" ht="20.05" customHeight="1">
      <c r="B28" s="33">
        <v>2022</v>
      </c>
      <c r="C28" s="16"/>
      <c r="D28" s="13">
        <f>'Model'!D6</f>
        <v>5430.942</v>
      </c>
      <c r="E28" s="13"/>
      <c r="F28" s="13"/>
      <c r="G28" s="34"/>
      <c r="H28" s="32"/>
      <c r="I28" s="11"/>
      <c r="J28" s="11"/>
    </row>
    <row r="29" ht="20.05" customHeight="1">
      <c r="B29" s="31"/>
      <c r="C29" s="16"/>
      <c r="D29" s="13">
        <f>'Model'!E6</f>
        <v>5593.87026</v>
      </c>
      <c r="E29" s="13"/>
      <c r="F29" s="13"/>
      <c r="G29" s="34"/>
      <c r="H29" s="32"/>
      <c r="I29" s="11"/>
      <c r="J29" s="11"/>
    </row>
    <row r="30" ht="20.05" customHeight="1">
      <c r="B30" s="31"/>
      <c r="C30" s="16"/>
      <c r="D30" s="13">
        <f>'Model'!F6</f>
        <v>5817.6250704</v>
      </c>
      <c r="E30" s="13"/>
      <c r="F30" s="13"/>
      <c r="G30" s="34"/>
      <c r="H30" s="32"/>
      <c r="I30" s="11"/>
      <c r="J30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5" customWidth="1"/>
    <col min="2" max="2" width="9.13281" style="35" customWidth="1"/>
    <col min="3" max="12" width="10.4766" style="35" customWidth="1"/>
    <col min="13" max="16384" width="16.3516" style="35" customWidth="1"/>
  </cols>
  <sheetData>
    <row r="1" ht="16.6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4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51</v>
      </c>
      <c r="H3" t="s" s="4">
        <v>52</v>
      </c>
      <c r="I3" t="s" s="4">
        <v>10</v>
      </c>
      <c r="J3" t="s" s="4">
        <v>53</v>
      </c>
      <c r="K3" t="s" s="4">
        <v>3</v>
      </c>
      <c r="L3" t="s" s="4">
        <v>54</v>
      </c>
    </row>
    <row r="4" ht="20.25" customHeight="1">
      <c r="B4" s="25">
        <v>2016</v>
      </c>
      <c r="C4" s="26">
        <v>5837.7</v>
      </c>
      <c r="D4" s="36">
        <v>-144.7</v>
      </c>
      <c r="E4" s="36"/>
      <c r="F4" s="36"/>
      <c r="G4" s="36">
        <v>-1067.5</v>
      </c>
      <c r="H4" s="36">
        <v>-2404.3</v>
      </c>
      <c r="I4" s="36">
        <v>-1908.7</v>
      </c>
      <c r="J4" s="36">
        <f>F4+E4+D4</f>
        <v>-144.7</v>
      </c>
      <c r="K4" s="36"/>
      <c r="L4" s="36">
        <f>-(I4-D4)</f>
        <v>1764</v>
      </c>
    </row>
    <row r="5" ht="20.05" customHeight="1">
      <c r="B5" s="31"/>
      <c r="C5" s="16">
        <v>5694</v>
      </c>
      <c r="D5" s="17">
        <v>-2196.3</v>
      </c>
      <c r="E5" s="17"/>
      <c r="F5" s="17"/>
      <c r="G5" s="17">
        <v>3466.89</v>
      </c>
      <c r="H5" s="17">
        <v>-444.7</v>
      </c>
      <c r="I5" s="17">
        <v>-4.2</v>
      </c>
      <c r="J5" s="17">
        <f>F5+E5+D5</f>
        <v>-2196.3</v>
      </c>
      <c r="K5" s="17"/>
      <c r="L5" s="17">
        <f>-(I5-D5)+L4</f>
        <v>-428.1</v>
      </c>
    </row>
    <row r="6" ht="20.05" customHeight="1">
      <c r="B6" s="31"/>
      <c r="C6" s="16">
        <v>5764.55</v>
      </c>
      <c r="D6" s="17">
        <v>-260</v>
      </c>
      <c r="E6" s="17"/>
      <c r="F6" s="17"/>
      <c r="G6" s="17">
        <v>611.01</v>
      </c>
      <c r="H6" s="17">
        <v>-1197.8</v>
      </c>
      <c r="I6" s="17">
        <v>-819.6</v>
      </c>
      <c r="J6" s="17">
        <f>F6+E6+D6</f>
        <v>-260</v>
      </c>
      <c r="K6" s="17"/>
      <c r="L6" s="17">
        <f>-(I6-D6)+L5</f>
        <v>131.5</v>
      </c>
    </row>
    <row r="7" ht="20.05" customHeight="1">
      <c r="B7" s="31"/>
      <c r="C7" s="16">
        <v>6001.55</v>
      </c>
      <c r="D7" s="17">
        <v>-242.7</v>
      </c>
      <c r="E7" s="17"/>
      <c r="F7" s="17"/>
      <c r="G7" s="17">
        <v>280.9</v>
      </c>
      <c r="H7" s="17">
        <v>-24.6</v>
      </c>
      <c r="I7" s="17">
        <v>-1001.1</v>
      </c>
      <c r="J7" s="17">
        <f>F7+E7+D7</f>
        <v>-242.7</v>
      </c>
      <c r="K7" s="17">
        <f>AVERAGE(J4:J7)</f>
        <v>-710.925</v>
      </c>
      <c r="L7" s="17">
        <f>-(I7-D7)+L6</f>
        <v>889.9</v>
      </c>
    </row>
    <row r="8" ht="20.05" customHeight="1">
      <c r="B8" s="33">
        <v>2017</v>
      </c>
      <c r="C8" s="16">
        <v>5545.4</v>
      </c>
      <c r="D8" s="17">
        <v>-947</v>
      </c>
      <c r="E8" s="17">
        <v>-104.333333333333</v>
      </c>
      <c r="F8" s="17">
        <v>2142.1</v>
      </c>
      <c r="G8" s="17">
        <v>876</v>
      </c>
      <c r="H8" s="17">
        <v>687</v>
      </c>
      <c r="I8" s="17">
        <v>-1093.4</v>
      </c>
      <c r="J8" s="17">
        <f>F8+E8+D8</f>
        <v>1090.766666666670</v>
      </c>
      <c r="K8" s="17">
        <f>AVERAGE(J5:J8)</f>
        <v>-402.058333333333</v>
      </c>
      <c r="L8" s="17">
        <f>-(I8-D8)+L7</f>
        <v>1036.3</v>
      </c>
    </row>
    <row r="9" ht="20.05" customHeight="1">
      <c r="B9" s="31"/>
      <c r="C9" s="16">
        <v>5543.8</v>
      </c>
      <c r="D9" s="17">
        <v>-945</v>
      </c>
      <c r="E9" s="17">
        <v>-104.333333333333</v>
      </c>
      <c r="F9" s="17">
        <v>3030.6</v>
      </c>
      <c r="G9" s="17">
        <v>-294.11</v>
      </c>
      <c r="H9" s="17">
        <v>2183</v>
      </c>
      <c r="I9" s="17">
        <v>-683.1</v>
      </c>
      <c r="J9" s="17">
        <f>F9+E9+D9</f>
        <v>1981.266666666670</v>
      </c>
      <c r="K9" s="17">
        <f>AVERAGE(J6:J9)</f>
        <v>642.333333333335</v>
      </c>
      <c r="L9" s="17">
        <f>-(I9-D9)+L8</f>
        <v>774.4</v>
      </c>
    </row>
    <row r="10" ht="20.05" customHeight="1">
      <c r="B10" s="31"/>
      <c r="C10" s="16">
        <v>5637.8</v>
      </c>
      <c r="D10" s="17">
        <v>-807</v>
      </c>
      <c r="E10" s="17">
        <v>-104.333333333333</v>
      </c>
      <c r="F10" s="17">
        <v>1530.7</v>
      </c>
      <c r="G10" s="17">
        <v>13045.01</v>
      </c>
      <c r="H10" s="17">
        <v>-5252.4</v>
      </c>
      <c r="I10" s="17">
        <v>-426.9</v>
      </c>
      <c r="J10" s="17">
        <f>F10+E10+D10</f>
        <v>619.366666666667</v>
      </c>
      <c r="K10" s="17">
        <f>AVERAGE(J7:J10)</f>
        <v>862.175000000002</v>
      </c>
      <c r="L10" s="17">
        <f>-(I10-D10)+L9</f>
        <v>394.3</v>
      </c>
    </row>
    <row r="11" ht="20.05" customHeight="1">
      <c r="B11" s="31"/>
      <c r="C11" s="16">
        <v>5747.6</v>
      </c>
      <c r="D11" s="17">
        <v>-741.4</v>
      </c>
      <c r="E11" s="17">
        <v>-104.333333333333</v>
      </c>
      <c r="F11" s="17">
        <v>3024.5</v>
      </c>
      <c r="G11" s="17">
        <v>6502.4</v>
      </c>
      <c r="H11" s="17">
        <v>-6563.7</v>
      </c>
      <c r="I11" s="17">
        <v>2115.6</v>
      </c>
      <c r="J11" s="17">
        <f>F11+E11+D11</f>
        <v>2178.766666666670</v>
      </c>
      <c r="K11" s="17">
        <f>AVERAGE(J8:J11)</f>
        <v>1467.541666666670</v>
      </c>
      <c r="L11" s="17">
        <f>-(I11-D11)+L10</f>
        <v>-2462.7</v>
      </c>
    </row>
    <row r="12" ht="20.05" customHeight="1">
      <c r="B12" s="33">
        <v>2018</v>
      </c>
      <c r="C12" s="16">
        <v>5391.4</v>
      </c>
      <c r="D12" s="17">
        <v>-3610.4</v>
      </c>
      <c r="E12" s="17">
        <v>-173.5</v>
      </c>
      <c r="F12" s="17">
        <v>1924.1</v>
      </c>
      <c r="G12" s="17">
        <v>-1463.6</v>
      </c>
      <c r="H12" s="17">
        <v>-4851.7</v>
      </c>
      <c r="I12" s="17">
        <v>-3093.8</v>
      </c>
      <c r="J12" s="17">
        <f>F12+E12+D12</f>
        <v>-1859.8</v>
      </c>
      <c r="K12" s="17">
        <f>AVERAGE(J9:J12)</f>
        <v>729.900000000002</v>
      </c>
      <c r="L12" s="17">
        <f>-(I12-D12)+L11</f>
        <v>-2979.3</v>
      </c>
    </row>
    <row r="13" ht="20.05" customHeight="1">
      <c r="B13" s="31"/>
      <c r="C13" s="16">
        <v>5450</v>
      </c>
      <c r="D13" s="17">
        <v>1685.9</v>
      </c>
      <c r="E13" s="17">
        <v>-173.5</v>
      </c>
      <c r="F13" s="17">
        <v>2771.3</v>
      </c>
      <c r="G13" s="17">
        <v>-3485.7</v>
      </c>
      <c r="H13" s="17">
        <v>1023.9</v>
      </c>
      <c r="I13" s="17">
        <v>2117.8</v>
      </c>
      <c r="J13" s="17">
        <f>F13+E13+D13</f>
        <v>4283.7</v>
      </c>
      <c r="K13" s="17">
        <f>AVERAGE(J10:J13)</f>
        <v>1305.508333333330</v>
      </c>
      <c r="L13" s="17">
        <f>-(I13-D13)+L12</f>
        <v>-3411.2</v>
      </c>
    </row>
    <row r="14" ht="20.05" customHeight="1">
      <c r="B14" s="31"/>
      <c r="C14" s="16">
        <v>5541.7</v>
      </c>
      <c r="D14" s="17">
        <v>-2779.5</v>
      </c>
      <c r="E14" s="17">
        <v>-173.5</v>
      </c>
      <c r="F14" s="17">
        <v>1075.7</v>
      </c>
      <c r="G14" s="17">
        <v>3946.4</v>
      </c>
      <c r="H14" s="17">
        <v>398.3</v>
      </c>
      <c r="I14" s="17">
        <v>-4371</v>
      </c>
      <c r="J14" s="17">
        <f>F14+E14+D14</f>
        <v>-1877.3</v>
      </c>
      <c r="K14" s="17">
        <f>AVERAGE(J11:J14)</f>
        <v>681.3416666666679</v>
      </c>
      <c r="L14" s="17">
        <f>-(I14-D14)+L13</f>
        <v>-1819.7</v>
      </c>
    </row>
    <row r="15" ht="20.05" customHeight="1">
      <c r="B15" s="31"/>
      <c r="C15" s="16">
        <v>5830.8</v>
      </c>
      <c r="D15" s="17">
        <v>-1026.7</v>
      </c>
      <c r="E15" s="17">
        <v>-173.5</v>
      </c>
      <c r="F15" s="17">
        <v>175.8</v>
      </c>
      <c r="G15" s="17">
        <v>253.4</v>
      </c>
      <c r="H15" s="17">
        <v>1820.7</v>
      </c>
      <c r="I15" s="17">
        <v>201</v>
      </c>
      <c r="J15" s="17">
        <f>F15+E15+D15</f>
        <v>-1024.4</v>
      </c>
      <c r="K15" s="17">
        <f>AVERAGE(J12:J15)</f>
        <v>-119.45</v>
      </c>
      <c r="L15" s="17">
        <f>-(I15-D15)+L14</f>
        <v>-3047.4</v>
      </c>
    </row>
    <row r="16" ht="20.05" customHeight="1">
      <c r="B16" s="33">
        <v>2019</v>
      </c>
      <c r="C16" s="16">
        <v>5693.7</v>
      </c>
      <c r="D16" s="17">
        <v>-2091.5</v>
      </c>
      <c r="E16" s="17">
        <v>-164.75</v>
      </c>
      <c r="F16" s="17">
        <v>2180.5</v>
      </c>
      <c r="G16" s="17">
        <v>-1192.3</v>
      </c>
      <c r="H16" s="17">
        <v>-1992.6</v>
      </c>
      <c r="I16" s="17">
        <v>-2192</v>
      </c>
      <c r="J16" s="17">
        <f>F16+E16+D16</f>
        <v>-75.75</v>
      </c>
      <c r="K16" s="17">
        <f>AVERAGE(J13:J16)</f>
        <v>326.5625</v>
      </c>
      <c r="L16" s="17">
        <f>-(I16-D16)+L15</f>
        <v>-2946.9</v>
      </c>
    </row>
    <row r="17" ht="20.05" customHeight="1">
      <c r="B17" s="31"/>
      <c r="C17" s="16">
        <v>6299.3</v>
      </c>
      <c r="D17" s="17">
        <v>-40.6</v>
      </c>
      <c r="E17" s="17">
        <v>-164.75</v>
      </c>
      <c r="F17" s="17">
        <v>4961.5</v>
      </c>
      <c r="G17" s="17">
        <v>1298.2</v>
      </c>
      <c r="H17" s="17">
        <v>4545.2</v>
      </c>
      <c r="I17" s="17">
        <v>4669.1</v>
      </c>
      <c r="J17" s="17">
        <f>F17+E17+D17</f>
        <v>4756.15</v>
      </c>
      <c r="K17" s="17">
        <f>AVERAGE(J14:J17)</f>
        <v>444.675</v>
      </c>
      <c r="L17" s="17">
        <f>-(I17-D17)+L16</f>
        <v>-7656.6</v>
      </c>
    </row>
    <row r="18" ht="20.05" customHeight="1">
      <c r="B18" s="31"/>
      <c r="C18" s="16">
        <v>6074.5</v>
      </c>
      <c r="D18" s="17">
        <v>521.6</v>
      </c>
      <c r="E18" s="17">
        <v>-164.75</v>
      </c>
      <c r="F18" s="17">
        <v>81.90000000000001</v>
      </c>
      <c r="G18" s="17">
        <v>-6939</v>
      </c>
      <c r="H18" s="17">
        <v>-2251.6</v>
      </c>
      <c r="I18" s="17">
        <v>-1803.3</v>
      </c>
      <c r="J18" s="17">
        <f>F18+E18+D18</f>
        <v>438.75</v>
      </c>
      <c r="K18" s="17">
        <f>AVERAGE(J15:J18)</f>
        <v>1023.6875</v>
      </c>
      <c r="L18" s="17">
        <f>-(I18-D18)+L17</f>
        <v>-5331.7</v>
      </c>
    </row>
    <row r="19" ht="20.05" customHeight="1">
      <c r="B19" s="31"/>
      <c r="C19" s="16">
        <v>5836.3</v>
      </c>
      <c r="D19" s="17">
        <v>-508.5</v>
      </c>
      <c r="E19" s="17">
        <v>-164.75</v>
      </c>
      <c r="F19" s="17">
        <v>4283.9</v>
      </c>
      <c r="G19" s="17">
        <v>8904</v>
      </c>
      <c r="H19" s="17">
        <v>1393.8</v>
      </c>
      <c r="I19" s="17">
        <v>725.2</v>
      </c>
      <c r="J19" s="17">
        <f>F19+E19+D19</f>
        <v>3610.65</v>
      </c>
      <c r="K19" s="17">
        <f>AVERAGE(J16:J19)</f>
        <v>2182.45</v>
      </c>
      <c r="L19" s="17">
        <f>-(I19-D19)+L18</f>
        <v>-6565.4</v>
      </c>
    </row>
    <row r="20" ht="20.05" customHeight="1">
      <c r="B20" s="33">
        <v>2020</v>
      </c>
      <c r="C20" s="16">
        <v>5717.4</v>
      </c>
      <c r="D20" s="17">
        <v>-2075.5</v>
      </c>
      <c r="E20" s="17">
        <v>-170</v>
      </c>
      <c r="F20" s="17">
        <v>-638.7</v>
      </c>
      <c r="G20" s="17">
        <v>-1843.4</v>
      </c>
      <c r="H20" s="17">
        <v>-3201.3</v>
      </c>
      <c r="I20" s="17">
        <v>-522.6</v>
      </c>
      <c r="J20" s="17">
        <f>F20+E20+D20</f>
        <v>-2884.2</v>
      </c>
      <c r="K20" s="17">
        <f>AVERAGE(J17:J20)</f>
        <v>1480.3375</v>
      </c>
      <c r="L20" s="17">
        <f>-(I20-D20)+L19</f>
        <v>-8118.3</v>
      </c>
    </row>
    <row r="21" ht="20.05" customHeight="1">
      <c r="B21" s="31"/>
      <c r="C21" s="16">
        <v>5201</v>
      </c>
      <c r="D21" s="17">
        <v>-101.8</v>
      </c>
      <c r="E21" s="17">
        <v>-170</v>
      </c>
      <c r="F21" s="17">
        <v>5854.4</v>
      </c>
      <c r="G21" s="17">
        <v>7362.3</v>
      </c>
      <c r="H21" s="17">
        <v>-8573.799999999999</v>
      </c>
      <c r="I21" s="17">
        <v>-1744.7</v>
      </c>
      <c r="J21" s="17">
        <f>F21+E21+D21</f>
        <v>5582.6</v>
      </c>
      <c r="K21" s="17">
        <f>AVERAGE(J18:J21)</f>
        <v>1686.95</v>
      </c>
      <c r="L21" s="17">
        <f>-(I21-D21)+L20</f>
        <v>-6475.4</v>
      </c>
    </row>
    <row r="22" ht="20.05" customHeight="1">
      <c r="B22" s="31"/>
      <c r="C22" s="16">
        <v>4943.8</v>
      </c>
      <c r="D22" s="17">
        <v>-101.1</v>
      </c>
      <c r="E22" s="17">
        <v>-170</v>
      </c>
      <c r="F22" s="17">
        <v>-292.4</v>
      </c>
      <c r="G22" s="17">
        <v>16314.8</v>
      </c>
      <c r="H22" s="17">
        <v>-10150.7</v>
      </c>
      <c r="I22" s="17">
        <v>-1290.4</v>
      </c>
      <c r="J22" s="17">
        <f>F22+E22+D22</f>
        <v>-563.5</v>
      </c>
      <c r="K22" s="17">
        <f>AVERAGE(J19:J22)</f>
        <v>1436.3875</v>
      </c>
      <c r="L22" s="17">
        <f>-(I22-D22)+L21</f>
        <v>-5286.1</v>
      </c>
    </row>
    <row r="23" ht="20.05" customHeight="1">
      <c r="B23" s="31"/>
      <c r="C23" s="16">
        <v>5311.2</v>
      </c>
      <c r="D23" s="17">
        <v>-98</v>
      </c>
      <c r="E23" s="17">
        <v>-170</v>
      </c>
      <c r="F23" s="17">
        <v>2988.1</v>
      </c>
      <c r="G23" s="17">
        <v>6791.2</v>
      </c>
      <c r="H23" s="17">
        <v>-4837.2</v>
      </c>
      <c r="I23" s="17">
        <v>-3025.9</v>
      </c>
      <c r="J23" s="17">
        <f>F23+E23+D23</f>
        <v>2720.1</v>
      </c>
      <c r="K23" s="17">
        <f>AVERAGE(J20:J23)</f>
        <v>1213.75</v>
      </c>
      <c r="L23" s="17">
        <f>-(I23-D23)+L22</f>
        <v>-2358.2</v>
      </c>
    </row>
    <row r="24" ht="20.05" customHeight="1">
      <c r="B24" s="33">
        <v>2021</v>
      </c>
      <c r="C24" s="16">
        <v>5043.6</v>
      </c>
      <c r="D24" s="17">
        <v>-211.3</v>
      </c>
      <c r="E24" s="17">
        <v>-4</v>
      </c>
      <c r="F24" s="17">
        <v>1148.4</v>
      </c>
      <c r="G24" s="17">
        <v>-9435.5</v>
      </c>
      <c r="H24" s="17">
        <v>3650.3</v>
      </c>
      <c r="I24" s="17">
        <f>23.4</f>
        <v>23.4</v>
      </c>
      <c r="J24" s="17">
        <f>F24+E24+D24</f>
        <v>933.1</v>
      </c>
      <c r="K24" s="17">
        <f>AVERAGE(J21:J24)</f>
        <v>2168.075</v>
      </c>
      <c r="L24" s="17">
        <f>-(I24-D24)+L23</f>
        <v>-2592.9</v>
      </c>
    </row>
    <row r="25" ht="20.05" customHeight="1">
      <c r="B25" s="31"/>
      <c r="C25" s="16">
        <f>10217.5-C24</f>
        <v>5173.9</v>
      </c>
      <c r="D25" s="17">
        <f>-343.1-D24</f>
        <v>-131.8</v>
      </c>
      <c r="E25" s="17">
        <v>-4</v>
      </c>
      <c r="F25" s="17">
        <v>5626.6</v>
      </c>
      <c r="G25" s="17">
        <f>4120.3-G24</f>
        <v>13555.8</v>
      </c>
      <c r="H25" s="17">
        <f>-8467.2-H24</f>
        <v>-12117.5</v>
      </c>
      <c r="I25" s="17">
        <f>-1286.8-I24</f>
        <v>-1310.2</v>
      </c>
      <c r="J25" s="17">
        <f>F25+E25+D25</f>
        <v>5490.8</v>
      </c>
      <c r="K25" s="17">
        <f>AVERAGE(J22:J25)</f>
        <v>2145.125</v>
      </c>
      <c r="L25" s="17">
        <f>-(I25-D25)+L24</f>
        <v>-1414.5</v>
      </c>
    </row>
    <row r="26" ht="20.05" customHeight="1">
      <c r="B26" s="31"/>
      <c r="C26" s="16">
        <f>15232.6+289.3-SUM(C24:C25)</f>
        <v>5304.4</v>
      </c>
      <c r="D26" s="17">
        <f>-475.1-SUM(D24:D25)</f>
        <v>-132</v>
      </c>
      <c r="E26" s="17">
        <f>-8.5-SUM(E24:E25)</f>
        <v>-0.5</v>
      </c>
      <c r="F26" s="17">
        <f>6571.2-SUM(F24:F25)</f>
        <v>-203.8</v>
      </c>
      <c r="G26" s="17">
        <f>14487.2-SUM(G24:G25)</f>
        <v>10366.9</v>
      </c>
      <c r="H26" s="17">
        <f>-9723.1-SUM(H24:H25)</f>
        <v>-1255.9</v>
      </c>
      <c r="I26" s="17">
        <f>-1539.7-SUM(I24:I25)</f>
        <v>-252.9</v>
      </c>
      <c r="J26" s="17">
        <f>F26+E26+D26</f>
        <v>-336.3</v>
      </c>
      <c r="K26" s="17">
        <f>AVERAGE(J23:J26)</f>
        <v>2201.925</v>
      </c>
      <c r="L26" s="17">
        <f>-(I26-D26)+L25</f>
        <v>-1293.6</v>
      </c>
    </row>
    <row r="27" ht="20.05" customHeight="1">
      <c r="B27" s="31"/>
      <c r="C27" s="16"/>
      <c r="D27" s="17"/>
      <c r="E27" s="17"/>
      <c r="F27" s="17"/>
      <c r="G27" s="17"/>
      <c r="H27" s="17"/>
      <c r="I27" s="17"/>
      <c r="J27" s="17"/>
      <c r="K27" s="17">
        <f>SUM('Model'!C9:F10)/4</f>
        <v>2139.9296089</v>
      </c>
      <c r="L27" s="17">
        <f>'Model'!F31</f>
        <v>-34.64446932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7" customWidth="1"/>
    <col min="2" max="5" width="11.3906" style="37" customWidth="1"/>
    <col min="6" max="11" width="12.5469" style="37" customWidth="1"/>
    <col min="12" max="16384" width="16.3516" style="37" customWidth="1"/>
  </cols>
  <sheetData>
    <row r="1" ht="16.3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55</v>
      </c>
      <c r="D3" t="s" s="4">
        <v>56</v>
      </c>
      <c r="E3" t="s" s="4">
        <v>22</v>
      </c>
      <c r="F3" t="s" s="4">
        <v>57</v>
      </c>
      <c r="G3" t="s" s="4">
        <v>24</v>
      </c>
      <c r="H3" t="s" s="4">
        <v>25</v>
      </c>
      <c r="I3" t="s" s="4">
        <v>26</v>
      </c>
      <c r="J3" t="s" s="4">
        <v>58</v>
      </c>
      <c r="K3" t="s" s="4">
        <v>59</v>
      </c>
    </row>
    <row r="4" ht="21.1" customHeight="1">
      <c r="B4" s="25">
        <v>2016</v>
      </c>
      <c r="C4" s="26">
        <v>3363</v>
      </c>
      <c r="D4" s="36">
        <v>231666</v>
      </c>
      <c r="E4" s="36">
        <f>D4-C4</f>
        <v>228303</v>
      </c>
      <c r="F4" s="36">
        <f>439+136+1+2811+24+391+7327+36+9</f>
        <v>11174</v>
      </c>
      <c r="G4" s="36">
        <v>199219</v>
      </c>
      <c r="H4" s="36">
        <v>32447</v>
      </c>
      <c r="I4" s="36">
        <f>G4+H4-C4-E4</f>
        <v>0</v>
      </c>
      <c r="J4" s="38"/>
      <c r="K4" s="39"/>
    </row>
    <row r="5" ht="20.9" customHeight="1">
      <c r="B5" s="31"/>
      <c r="C5" s="16">
        <v>4109</v>
      </c>
      <c r="D5" s="17">
        <v>239384</v>
      </c>
      <c r="E5" s="17">
        <f>D5-C5</f>
        <v>235275</v>
      </c>
      <c r="F5" s="17">
        <f>441+95+2911+1+23+410+7839+35+16</f>
        <v>11771</v>
      </c>
      <c r="G5" s="17">
        <v>206525</v>
      </c>
      <c r="H5" s="17">
        <v>32859</v>
      </c>
      <c r="I5" s="17">
        <f>G5+H5-C5-E5</f>
        <v>0</v>
      </c>
      <c r="J5" s="40">
        <f>E5/E4-1</f>
        <v>0.0305383634906243</v>
      </c>
      <c r="K5" s="40">
        <f>G5/G4-1</f>
        <v>0.0366732088806791</v>
      </c>
    </row>
    <row r="6" ht="20.9" customHeight="1">
      <c r="B6" s="31"/>
      <c r="C6" s="16">
        <v>3367</v>
      </c>
      <c r="D6" s="17">
        <v>237123</v>
      </c>
      <c r="E6" s="17">
        <f>D6-C6</f>
        <v>233756</v>
      </c>
      <c r="F6" s="17">
        <f>440+166+748+2302+1+29+436+7279+35+18</f>
        <v>11454</v>
      </c>
      <c r="G6" s="17">
        <v>203571</v>
      </c>
      <c r="H6" s="17">
        <v>33552</v>
      </c>
      <c r="I6" s="17">
        <f>G6+H6-C6-E6</f>
        <v>0</v>
      </c>
      <c r="J6" s="40">
        <f>E6/E5-1</f>
        <v>-0.006456274572309</v>
      </c>
      <c r="K6" s="40">
        <f>G6/G5-1</f>
        <v>-0.014303353104951</v>
      </c>
    </row>
    <row r="7" ht="20.9" customHeight="1">
      <c r="B7" s="31"/>
      <c r="C7" s="16">
        <v>3262</v>
      </c>
      <c r="D7" s="17">
        <v>241572</v>
      </c>
      <c r="E7" s="17">
        <f>D7-C7</f>
        <v>238310</v>
      </c>
      <c r="F7" s="17">
        <f>439+198+803+2235+1+30+434+7664+36+12</f>
        <v>11852</v>
      </c>
      <c r="G7" s="17">
        <v>207364</v>
      </c>
      <c r="H7" s="17">
        <v>34208</v>
      </c>
      <c r="I7" s="17">
        <f>G7+H7-C7-E7</f>
        <v>0</v>
      </c>
      <c r="J7" s="40">
        <f>E7/E6-1</f>
        <v>0.0194818528722257</v>
      </c>
      <c r="K7" s="40">
        <f>G7/G6-1</f>
        <v>0.0186323199276911</v>
      </c>
    </row>
    <row r="8" ht="20.9" customHeight="1">
      <c r="B8" s="33">
        <v>2017</v>
      </c>
      <c r="C8" s="16">
        <v>3244</v>
      </c>
      <c r="D8" s="17">
        <v>236860</v>
      </c>
      <c r="E8" s="17">
        <f>D8-C8</f>
        <v>233616</v>
      </c>
      <c r="F8" s="17">
        <f>440+259+858+2283+1+31+438+7509+36+15</f>
        <v>11870</v>
      </c>
      <c r="G8" s="17">
        <v>201892</v>
      </c>
      <c r="H8" s="17">
        <v>34968</v>
      </c>
      <c r="I8" s="17">
        <f>G8+H8-C8-E8</f>
        <v>0</v>
      </c>
      <c r="J8" s="40">
        <f>E8/E7-1</f>
        <v>-0.0196970332759851</v>
      </c>
      <c r="K8" s="40">
        <f>G8/G7-1</f>
        <v>-0.0263883798537837</v>
      </c>
    </row>
    <row r="9" ht="20.9" customHeight="1">
      <c r="B9" s="31"/>
      <c r="C9" s="16">
        <v>5385</v>
      </c>
      <c r="D9" s="17">
        <v>241815</v>
      </c>
      <c r="E9" s="17">
        <f>D9-C9</f>
        <v>236430</v>
      </c>
      <c r="F9" s="17">
        <f>440+109+912+2350+1+29+435+7081+32+14</f>
        <v>11403</v>
      </c>
      <c r="G9" s="17">
        <v>206091</v>
      </c>
      <c r="H9" s="17">
        <v>35724</v>
      </c>
      <c r="I9" s="17">
        <f>G9+H9-C9-E9</f>
        <v>0</v>
      </c>
      <c r="J9" s="40">
        <f>E9/E8-1</f>
        <v>0.0120454078487775</v>
      </c>
      <c r="K9" s="40">
        <f>G9/G8-1</f>
        <v>0.0207982485685416</v>
      </c>
    </row>
    <row r="10" ht="20.9" customHeight="1">
      <c r="B10" s="31"/>
      <c r="C10" s="16">
        <v>3106</v>
      </c>
      <c r="D10" s="17">
        <v>252131</v>
      </c>
      <c r="E10" s="17">
        <f>D10-C10</f>
        <v>249025</v>
      </c>
      <c r="F10" s="17">
        <f>439+109+965+2433+1+18+394+7593+32+9</f>
        <v>11993</v>
      </c>
      <c r="G10" s="17">
        <v>215544</v>
      </c>
      <c r="H10" s="17">
        <v>36587</v>
      </c>
      <c r="I10" s="17">
        <f>G10+H10-C10-E10</f>
        <v>0</v>
      </c>
      <c r="J10" s="40">
        <f>E10/E9-1</f>
        <v>0.0532715814405955</v>
      </c>
      <c r="K10" s="40">
        <f>G10/G9-1</f>
        <v>0.0458680873982852</v>
      </c>
    </row>
    <row r="11" ht="20.9" customHeight="1">
      <c r="B11" s="31"/>
      <c r="C11" s="16">
        <v>3896</v>
      </c>
      <c r="D11" s="17">
        <v>266305</v>
      </c>
      <c r="E11" s="17">
        <f>D11-C11</f>
        <v>262409</v>
      </c>
      <c r="F11" s="17">
        <f>439+109+1018+2507+1+9+323+6985+39+9</f>
        <v>11439</v>
      </c>
      <c r="G11" s="17">
        <v>229354</v>
      </c>
      <c r="H11" s="17">
        <v>36951</v>
      </c>
      <c r="I11" s="17">
        <f>G11+H11-C11-E11</f>
        <v>0</v>
      </c>
      <c r="J11" s="40">
        <f>E11/E10-1</f>
        <v>0.0537456078706957</v>
      </c>
      <c r="K11" s="40">
        <f>G11/G10-1</f>
        <v>0.0640704450135471</v>
      </c>
    </row>
    <row r="12" ht="20.9" customHeight="1">
      <c r="B12" s="33">
        <v>2018</v>
      </c>
      <c r="C12" s="16">
        <v>3254</v>
      </c>
      <c r="D12" s="17">
        <v>257513</v>
      </c>
      <c r="E12" s="17">
        <f>D12-C12</f>
        <v>254259</v>
      </c>
      <c r="F12" s="17">
        <f>439+158+1070+2594+1+7+251+6276+45+11</f>
        <v>10852</v>
      </c>
      <c r="G12" s="17">
        <v>219821</v>
      </c>
      <c r="H12" s="17">
        <v>37692</v>
      </c>
      <c r="I12" s="17">
        <f>G12+H12-C12-E12</f>
        <v>0</v>
      </c>
      <c r="J12" s="40">
        <f>E12/E11-1</f>
        <v>-0.03105838595475</v>
      </c>
      <c r="K12" s="40">
        <f>G12/G11-1</f>
        <v>-0.0415645683092512</v>
      </c>
    </row>
    <row r="13" ht="20.9" customHeight="1">
      <c r="B13" s="31"/>
      <c r="C13" s="16">
        <v>4142</v>
      </c>
      <c r="D13" s="17">
        <v>260081</v>
      </c>
      <c r="E13" s="17">
        <f>D13-C13</f>
        <v>255939</v>
      </c>
      <c r="F13" s="17">
        <f>439+162+1121+2674+1+6+175+6426+43+11</f>
        <v>11058</v>
      </c>
      <c r="G13" s="17">
        <v>222453</v>
      </c>
      <c r="H13" s="17">
        <v>37628</v>
      </c>
      <c r="I13" s="17">
        <f>G13+H13-C13-E13</f>
        <v>0</v>
      </c>
      <c r="J13" s="40">
        <f>E13/E12-1</f>
        <v>0.00660743572498909</v>
      </c>
      <c r="K13" s="40">
        <f>G13/G12-1</f>
        <v>0.0119733783396491</v>
      </c>
    </row>
    <row r="14" ht="20.9" customHeight="1">
      <c r="B14" s="31"/>
      <c r="C14" s="16">
        <v>3192</v>
      </c>
      <c r="D14" s="17">
        <v>260607</v>
      </c>
      <c r="E14" s="17">
        <f>D14-C14</f>
        <v>257415</v>
      </c>
      <c r="F14" s="17">
        <f>440+153+1173+2754+1+4+112+6092+42+11</f>
        <v>10782</v>
      </c>
      <c r="G14" s="17">
        <v>222128</v>
      </c>
      <c r="H14" s="17">
        <v>38479</v>
      </c>
      <c r="I14" s="17">
        <f>G14+H14-C14-E14</f>
        <v>0</v>
      </c>
      <c r="J14" s="40">
        <f>E14/E13-1</f>
        <v>0.00576699916777045</v>
      </c>
      <c r="K14" s="40">
        <f>G14/G13-1</f>
        <v>-0.00146098276939398</v>
      </c>
    </row>
    <row r="15" ht="20.9" customHeight="1">
      <c r="B15" s="31"/>
      <c r="C15" s="16">
        <v>4293</v>
      </c>
      <c r="D15" s="17">
        <v>266781</v>
      </c>
      <c r="E15" s="17">
        <f>D15-C15</f>
        <v>262488</v>
      </c>
      <c r="F15" s="17">
        <f>440+177+1221+2767+1+4+147+5951+39+13</f>
        <v>10760</v>
      </c>
      <c r="G15" s="17">
        <v>227201</v>
      </c>
      <c r="H15" s="17">
        <v>39580</v>
      </c>
      <c r="I15" s="17">
        <f>G15+H15-C15-E15</f>
        <v>0</v>
      </c>
      <c r="J15" s="40">
        <f>E15/E14-1</f>
        <v>0.0197074762542975</v>
      </c>
      <c r="K15" s="40">
        <f>G15/G14-1</f>
        <v>0.0228381833897573</v>
      </c>
    </row>
    <row r="16" ht="20.9" customHeight="1">
      <c r="B16" s="33">
        <v>2019</v>
      </c>
      <c r="C16" s="16">
        <v>3488</v>
      </c>
      <c r="D16" s="17">
        <v>262818</v>
      </c>
      <c r="E16" s="17">
        <f>D16-C16</f>
        <v>259330</v>
      </c>
      <c r="F16" s="17">
        <f>441+159+1270+2844+1+4+125+6267+39+19</f>
        <v>11169</v>
      </c>
      <c r="G16" s="17">
        <v>221857</v>
      </c>
      <c r="H16" s="17">
        <v>40961</v>
      </c>
      <c r="I16" s="17">
        <f>G16+H16-C16-E16</f>
        <v>0</v>
      </c>
      <c r="J16" s="40">
        <f>E16/E15-1</f>
        <v>-0.0120310261802444</v>
      </c>
      <c r="K16" s="40">
        <f>G16/G15-1</f>
        <v>-0.0235210232349329</v>
      </c>
    </row>
    <row r="17" ht="20.9" customHeight="1">
      <c r="B17" s="31"/>
      <c r="C17" s="16">
        <v>3668.7</v>
      </c>
      <c r="D17" s="17">
        <v>271860</v>
      </c>
      <c r="E17" s="17">
        <f>D17-C17</f>
        <v>268191.3</v>
      </c>
      <c r="F17" s="17">
        <f>441+123+1309+2823+1+4+113+5333+38+16</f>
        <v>10201</v>
      </c>
      <c r="G17" s="17">
        <v>230336</v>
      </c>
      <c r="H17" s="17">
        <v>41524</v>
      </c>
      <c r="I17" s="17">
        <f>G17+H17-C17-E17</f>
        <v>0</v>
      </c>
      <c r="J17" s="40">
        <f>E17/E16-1</f>
        <v>0.0341699764778468</v>
      </c>
      <c r="K17" s="40">
        <f>G17/G16-1</f>
        <v>0.0382183117954358</v>
      </c>
    </row>
    <row r="18" ht="20.9" customHeight="1">
      <c r="B18" s="31"/>
      <c r="C18" s="16">
        <v>3670</v>
      </c>
      <c r="D18" s="17">
        <v>262819</v>
      </c>
      <c r="E18" s="17">
        <f>D18-C18</f>
        <v>259149</v>
      </c>
      <c r="F18" s="17">
        <f>124+1354+2373+1+4+98+5431+38+23</f>
        <v>9446</v>
      </c>
      <c r="G18" s="17">
        <v>220536</v>
      </c>
      <c r="H18" s="17">
        <v>42283</v>
      </c>
      <c r="I18" s="17">
        <f>G18+H18-C18-E18</f>
        <v>0</v>
      </c>
      <c r="J18" s="40">
        <f>E18/E17-1</f>
        <v>-0.03371585879184</v>
      </c>
      <c r="K18" s="40">
        <f>G18/G17-1</f>
        <v>-0.0425465407057516</v>
      </c>
    </row>
    <row r="19" ht="20.9" customHeight="1">
      <c r="B19" s="31"/>
      <c r="C19" s="16">
        <v>4293</v>
      </c>
      <c r="D19" s="17">
        <v>274467</v>
      </c>
      <c r="E19" s="17">
        <f>D19-C19</f>
        <v>270174</v>
      </c>
      <c r="F19" s="17">
        <f>442+130+1401+1974+1+75+5985+38+29</f>
        <v>10075</v>
      </c>
      <c r="G19" s="17">
        <v>231173</v>
      </c>
      <c r="H19" s="17">
        <v>43294</v>
      </c>
      <c r="I19" s="17">
        <f>G19+H19-C19-E19</f>
        <v>0</v>
      </c>
      <c r="J19" s="40">
        <f>E19/E18-1</f>
        <v>0.0425430929696815</v>
      </c>
      <c r="K19" s="40">
        <f>G19/G18-1</f>
        <v>0.0482324881198534</v>
      </c>
    </row>
    <row r="20" ht="20.9" customHeight="1">
      <c r="B20" s="33">
        <v>2020</v>
      </c>
      <c r="C20" s="16">
        <v>5291</v>
      </c>
      <c r="D20" s="17">
        <v>274518</v>
      </c>
      <c r="E20" s="17">
        <f>D20-C20</f>
        <v>269227</v>
      </c>
      <c r="F20" s="17">
        <f>444+150+1451+2049+1+94+10261+16+32</f>
        <v>14498</v>
      </c>
      <c r="G20" s="17">
        <v>234489</v>
      </c>
      <c r="H20" s="17">
        <v>40029</v>
      </c>
      <c r="I20" s="17">
        <f>G20+H20-C20-E20</f>
        <v>0</v>
      </c>
      <c r="J20" s="40">
        <f>E20/E19-1</f>
        <v>-0.00350514853390778</v>
      </c>
      <c r="K20" s="40">
        <f>G20/G19-1</f>
        <v>0.0143442357022663</v>
      </c>
    </row>
    <row r="21" ht="20.9" customHeight="1">
      <c r="B21" s="31"/>
      <c r="C21" s="16">
        <v>3979</v>
      </c>
      <c r="D21" s="17">
        <v>274419</v>
      </c>
      <c r="E21" s="17">
        <f>D21-C21</f>
        <v>270440</v>
      </c>
      <c r="F21" s="17">
        <f>10+16+10716+88+1+2187+1502+150+443</f>
        <v>15113</v>
      </c>
      <c r="G21" s="17">
        <v>234699</v>
      </c>
      <c r="H21" s="17">
        <v>39720</v>
      </c>
      <c r="I21" s="17">
        <f>G21+H21-C21-E21</f>
        <v>0</v>
      </c>
      <c r="J21" s="40">
        <f>E21/E20-1</f>
        <v>0.00450549164831165</v>
      </c>
      <c r="K21" s="40">
        <f>G21/G20-1</f>
        <v>0.0008955643974770671</v>
      </c>
    </row>
    <row r="22" ht="20.9" customHeight="1">
      <c r="B22" s="31"/>
      <c r="C22" s="16">
        <v>3726</v>
      </c>
      <c r="D22" s="17">
        <v>281696</v>
      </c>
      <c r="E22" s="17">
        <f>D22-C22</f>
        <v>277970</v>
      </c>
      <c r="F22" s="17">
        <f>445+147+1556+2327+1+92+11194+17+8</f>
        <v>15787</v>
      </c>
      <c r="G22" s="17">
        <v>241631</v>
      </c>
      <c r="H22" s="17">
        <v>40065</v>
      </c>
      <c r="I22" s="17">
        <f>G22+H22-C22-E22</f>
        <v>0</v>
      </c>
      <c r="J22" s="40">
        <f>E22/E21-1</f>
        <v>0.0278435142730365</v>
      </c>
      <c r="K22" s="40">
        <f>G22/G21-1</f>
        <v>0.0295357031772611</v>
      </c>
    </row>
    <row r="23" ht="20.9" customHeight="1">
      <c r="B23" s="31"/>
      <c r="C23" s="16">
        <v>4777</v>
      </c>
      <c r="D23" s="17">
        <v>280944</v>
      </c>
      <c r="E23" s="17">
        <f>D23-C23</f>
        <v>276167</v>
      </c>
      <c r="F23" s="17">
        <f>444+143+1612+2438+1+131+106+11819+16+8</f>
        <v>16718</v>
      </c>
      <c r="G23" s="17">
        <v>239891</v>
      </c>
      <c r="H23" s="17">
        <v>41053</v>
      </c>
      <c r="I23" s="17">
        <f>G23+H23-C23-E23</f>
        <v>0</v>
      </c>
      <c r="J23" s="40">
        <f>E23/E22-1</f>
        <v>-0.00648631147246106</v>
      </c>
      <c r="K23" s="40">
        <f>G23/G22-1</f>
        <v>-0.00720106277754096</v>
      </c>
    </row>
    <row r="24" ht="20.9" customHeight="1">
      <c r="B24" s="33">
        <v>2021</v>
      </c>
      <c r="C24" s="16">
        <v>3309</v>
      </c>
      <c r="D24" s="17">
        <v>272546</v>
      </c>
      <c r="E24" s="17">
        <f>D24-C24</f>
        <v>269237</v>
      </c>
      <c r="F24" s="17">
        <f>2581+1679+141+444+1+194+99+12579+16+8</f>
        <v>17742</v>
      </c>
      <c r="G24" s="17">
        <v>231406</v>
      </c>
      <c r="H24" s="17">
        <v>41140</v>
      </c>
      <c r="I24" s="17">
        <f>G24+H24-C24-E24</f>
        <v>0</v>
      </c>
      <c r="J24" s="40">
        <f>E24/E23-1</f>
        <v>-0.0250935122588868</v>
      </c>
      <c r="K24" s="40">
        <f>G24/G23-1</f>
        <v>-0.0353702306464186</v>
      </c>
    </row>
    <row r="25" ht="20.9" customHeight="1">
      <c r="B25" s="31"/>
      <c r="C25" s="16">
        <v>3437</v>
      </c>
      <c r="D25" s="17">
        <v>288931</v>
      </c>
      <c r="E25" s="17">
        <f>D25-C25</f>
        <v>285494</v>
      </c>
      <c r="F25" s="17">
        <f>2549+1744+148+442+1+196+78+12204+16+8</f>
        <v>17386</v>
      </c>
      <c r="G25" s="17">
        <v>247528</v>
      </c>
      <c r="H25" s="17">
        <v>41403</v>
      </c>
      <c r="I25" s="17">
        <f>G25+H25-C25-E25</f>
        <v>0</v>
      </c>
      <c r="J25" s="40">
        <f>E25/E24-1</f>
        <v>0.0603817454510338</v>
      </c>
      <c r="K25" s="40">
        <f>G25/G24-1</f>
        <v>0.0696697579146608</v>
      </c>
    </row>
    <row r="26" ht="20.9" customHeight="1">
      <c r="B26" s="31"/>
      <c r="C26" s="16">
        <v>3042</v>
      </c>
      <c r="D26" s="17">
        <v>295396</v>
      </c>
      <c r="E26" s="17">
        <f>D26-C26</f>
        <v>292354</v>
      </c>
      <c r="F26" s="17">
        <f>150+1643+2644+175+1+449+12645+16+8+70</f>
        <v>17801</v>
      </c>
      <c r="G26" s="17">
        <v>252855</v>
      </c>
      <c r="H26" s="17">
        <v>42541</v>
      </c>
      <c r="I26" s="17">
        <f>G26+H26-C26-E26</f>
        <v>0</v>
      </c>
      <c r="J26" s="40">
        <f>E26/E25-1</f>
        <v>0.024028525993541</v>
      </c>
      <c r="K26" s="40">
        <f>G26/G25-1</f>
        <v>0.0215207976471349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41" customWidth="1"/>
    <col min="2" max="2" width="6.86719" style="41" customWidth="1"/>
    <col min="3" max="4" width="8.32031" style="41" customWidth="1"/>
    <col min="5" max="16384" width="16.3516" style="41" customWidth="1"/>
  </cols>
  <sheetData>
    <row r="1" ht="7.3" customHeight="1"/>
    <row r="2" ht="27.65" customHeight="1">
      <c r="B2" t="s" s="2">
        <v>60</v>
      </c>
      <c r="C2" s="2"/>
      <c r="D2" s="2"/>
    </row>
    <row r="3" ht="20.25" customHeight="1">
      <c r="B3" s="5"/>
      <c r="C3" t="s" s="42">
        <v>61</v>
      </c>
      <c r="D3" t="s" s="42">
        <v>36</v>
      </c>
    </row>
    <row r="4" ht="20.25" customHeight="1">
      <c r="B4" s="25">
        <v>2016</v>
      </c>
      <c r="C4" s="43">
        <v>605</v>
      </c>
      <c r="D4" s="44"/>
    </row>
    <row r="5" ht="20.05" customHeight="1">
      <c r="B5" s="31"/>
      <c r="C5" s="45">
        <v>570</v>
      </c>
      <c r="D5" s="19"/>
    </row>
    <row r="6" ht="20.05" customHeight="1">
      <c r="B6" s="31"/>
      <c r="C6" s="45">
        <v>575</v>
      </c>
      <c r="D6" s="19"/>
    </row>
    <row r="7" ht="20.05" customHeight="1">
      <c r="B7" s="31"/>
      <c r="C7" s="45">
        <v>550</v>
      </c>
      <c r="D7" s="19"/>
    </row>
    <row r="8" ht="20.05" customHeight="1">
      <c r="B8" s="31"/>
      <c r="C8" s="45">
        <v>494</v>
      </c>
      <c r="D8" s="19"/>
    </row>
    <row r="9" ht="20.05" customHeight="1">
      <c r="B9" s="31"/>
      <c r="C9" s="45">
        <v>525</v>
      </c>
      <c r="D9" s="19"/>
    </row>
    <row r="10" ht="20.05" customHeight="1">
      <c r="B10" s="31"/>
      <c r="C10" s="45">
        <v>910</v>
      </c>
      <c r="D10" s="19"/>
    </row>
    <row r="11" ht="20.05" customHeight="1">
      <c r="B11" s="31"/>
      <c r="C11" s="45">
        <v>835</v>
      </c>
      <c r="D11" s="19"/>
    </row>
    <row r="12" ht="20.05" customHeight="1">
      <c r="B12" s="31"/>
      <c r="C12" s="45">
        <v>830</v>
      </c>
      <c r="D12" s="19"/>
    </row>
    <row r="13" ht="20.05" customHeight="1">
      <c r="B13" s="31"/>
      <c r="C13" s="45">
        <v>955</v>
      </c>
      <c r="D13" s="19"/>
    </row>
    <row r="14" ht="20.05" customHeight="1">
      <c r="B14" s="31"/>
      <c r="C14" s="45">
        <v>805</v>
      </c>
      <c r="D14" s="19"/>
    </row>
    <row r="15" ht="20.05" customHeight="1">
      <c r="B15" s="31"/>
      <c r="C15" s="45">
        <v>845</v>
      </c>
      <c r="D15" s="19"/>
    </row>
    <row r="16" ht="20.05" customHeight="1">
      <c r="B16" s="33">
        <v>2017</v>
      </c>
      <c r="C16" s="45">
        <v>980</v>
      </c>
      <c r="D16" s="19"/>
    </row>
    <row r="17" ht="20.05" customHeight="1">
      <c r="B17" s="31"/>
      <c r="C17" s="45">
        <v>990</v>
      </c>
      <c r="D17" s="19"/>
    </row>
    <row r="18" ht="20.05" customHeight="1">
      <c r="B18" s="31"/>
      <c r="C18" s="45">
        <v>1040</v>
      </c>
      <c r="D18" s="19"/>
    </row>
    <row r="19" ht="20.05" customHeight="1">
      <c r="B19" s="31"/>
      <c r="C19" s="45">
        <v>1270</v>
      </c>
      <c r="D19" s="19"/>
    </row>
    <row r="20" ht="20.05" customHeight="1">
      <c r="B20" s="31"/>
      <c r="C20" s="45">
        <v>1280</v>
      </c>
      <c r="D20" s="19"/>
    </row>
    <row r="21" ht="20.05" customHeight="1">
      <c r="B21" s="31"/>
      <c r="C21" s="45">
        <v>1170</v>
      </c>
      <c r="D21" s="19"/>
    </row>
    <row r="22" ht="20.05" customHeight="1">
      <c r="B22" s="31"/>
      <c r="C22" s="45">
        <v>1290</v>
      </c>
      <c r="D22" s="19"/>
    </row>
    <row r="23" ht="20.05" customHeight="1">
      <c r="B23" s="31"/>
      <c r="C23" s="45">
        <v>1385</v>
      </c>
      <c r="D23" s="19"/>
    </row>
    <row r="24" ht="20.05" customHeight="1">
      <c r="B24" s="31"/>
      <c r="C24" s="45">
        <v>1295</v>
      </c>
      <c r="D24" s="19"/>
    </row>
    <row r="25" ht="20.05" customHeight="1">
      <c r="B25" s="31"/>
      <c r="C25" s="45">
        <v>1240</v>
      </c>
      <c r="D25" s="19"/>
    </row>
    <row r="26" ht="20.05" customHeight="1">
      <c r="B26" s="31"/>
      <c r="C26" s="45">
        <v>1220</v>
      </c>
      <c r="D26" s="19"/>
    </row>
    <row r="27" ht="20.05" customHeight="1">
      <c r="B27" s="31"/>
      <c r="C27" s="45">
        <v>1350</v>
      </c>
      <c r="D27" s="19"/>
    </row>
    <row r="28" ht="20.05" customHeight="1">
      <c r="B28" s="33">
        <v>2018</v>
      </c>
      <c r="C28" s="45">
        <v>1400</v>
      </c>
      <c r="D28" s="19"/>
    </row>
    <row r="29" ht="20.05" customHeight="1">
      <c r="B29" s="31"/>
      <c r="C29" s="45">
        <v>1380</v>
      </c>
      <c r="D29" s="19"/>
    </row>
    <row r="30" ht="20.05" customHeight="1">
      <c r="B30" s="31"/>
      <c r="C30" s="45">
        <v>1170</v>
      </c>
      <c r="D30" s="19"/>
    </row>
    <row r="31" ht="20.05" customHeight="1">
      <c r="B31" s="31"/>
      <c r="C31" s="45">
        <v>1035</v>
      </c>
      <c r="D31" s="19"/>
    </row>
    <row r="32" ht="20.05" customHeight="1">
      <c r="B32" s="31"/>
      <c r="C32" s="45">
        <v>1110</v>
      </c>
      <c r="D32" s="19"/>
    </row>
    <row r="33" ht="20.05" customHeight="1">
      <c r="B33" s="31"/>
      <c r="C33" s="45">
        <v>950</v>
      </c>
      <c r="D33" s="19"/>
    </row>
    <row r="34" ht="20.05" customHeight="1">
      <c r="B34" s="31"/>
      <c r="C34" s="45">
        <v>995</v>
      </c>
      <c r="D34" s="19"/>
    </row>
    <row r="35" ht="20.05" customHeight="1">
      <c r="B35" s="31"/>
      <c r="C35" s="45">
        <v>920</v>
      </c>
      <c r="D35" s="19"/>
    </row>
    <row r="36" ht="20.05" customHeight="1">
      <c r="B36" s="31"/>
      <c r="C36" s="45">
        <v>930</v>
      </c>
      <c r="D36" s="19"/>
    </row>
    <row r="37" ht="20.05" customHeight="1">
      <c r="B37" s="31"/>
      <c r="C37" s="45">
        <v>860</v>
      </c>
      <c r="D37" s="19"/>
    </row>
    <row r="38" ht="20.05" customHeight="1">
      <c r="B38" s="31"/>
      <c r="C38" s="45">
        <v>895</v>
      </c>
      <c r="D38" s="19"/>
    </row>
    <row r="39" ht="20.05" customHeight="1">
      <c r="B39" s="31"/>
      <c r="C39" s="45">
        <v>915</v>
      </c>
      <c r="D39" s="19"/>
    </row>
    <row r="40" ht="20.05" customHeight="1">
      <c r="B40" s="33">
        <v>2019</v>
      </c>
      <c r="C40" s="45">
        <v>1105</v>
      </c>
      <c r="D40" s="19"/>
    </row>
    <row r="41" ht="20.05" customHeight="1">
      <c r="B41" s="31"/>
      <c r="C41" s="45">
        <v>1190</v>
      </c>
      <c r="D41" s="19"/>
    </row>
    <row r="42" ht="20.05" customHeight="1">
      <c r="B42" s="31"/>
      <c r="C42" s="45">
        <v>1055</v>
      </c>
      <c r="D42" s="19"/>
    </row>
    <row r="43" ht="20.05" customHeight="1">
      <c r="B43" s="31"/>
      <c r="C43" s="45">
        <v>1065</v>
      </c>
      <c r="D43" s="19"/>
    </row>
    <row r="44" ht="20.05" customHeight="1">
      <c r="B44" s="31"/>
      <c r="C44" s="45">
        <v>955</v>
      </c>
      <c r="D44" s="19"/>
    </row>
    <row r="45" ht="20.05" customHeight="1">
      <c r="B45" s="31"/>
      <c r="C45" s="45">
        <v>1115</v>
      </c>
      <c r="D45" s="19"/>
    </row>
    <row r="46" ht="20.05" customHeight="1">
      <c r="B46" s="31"/>
      <c r="C46" s="45">
        <v>1075</v>
      </c>
      <c r="D46" s="19"/>
    </row>
    <row r="47" ht="20.05" customHeight="1">
      <c r="B47" s="31"/>
      <c r="C47" s="45">
        <v>1050</v>
      </c>
      <c r="D47" s="19"/>
    </row>
    <row r="48" ht="20.05" customHeight="1">
      <c r="B48" s="31"/>
      <c r="C48" s="45">
        <v>1005</v>
      </c>
      <c r="D48" s="19"/>
    </row>
    <row r="49" ht="20.05" customHeight="1">
      <c r="B49" s="31"/>
      <c r="C49" s="45">
        <v>975</v>
      </c>
      <c r="D49" s="19"/>
    </row>
    <row r="50" ht="20.05" customHeight="1">
      <c r="B50" s="31"/>
      <c r="C50" s="45">
        <v>910</v>
      </c>
      <c r="D50" s="19"/>
    </row>
    <row r="51" ht="20.05" customHeight="1">
      <c r="B51" s="31"/>
      <c r="C51" s="45">
        <v>965</v>
      </c>
      <c r="D51" s="19"/>
    </row>
    <row r="52" ht="20.05" customHeight="1">
      <c r="B52" s="33">
        <v>2020</v>
      </c>
      <c r="C52" s="45">
        <v>895</v>
      </c>
      <c r="D52" s="19"/>
    </row>
    <row r="53" ht="20.05" customHeight="1">
      <c r="B53" s="31"/>
      <c r="C53" s="45">
        <v>750</v>
      </c>
      <c r="D53" s="19"/>
    </row>
    <row r="54" ht="20.05" customHeight="1">
      <c r="B54" s="31"/>
      <c r="C54" s="45">
        <v>615</v>
      </c>
      <c r="D54" s="19"/>
    </row>
    <row r="55" ht="20.05" customHeight="1">
      <c r="B55" s="31"/>
      <c r="C55" s="45">
        <v>635</v>
      </c>
      <c r="D55" s="34"/>
    </row>
    <row r="56" ht="20.05" customHeight="1">
      <c r="B56" s="31"/>
      <c r="C56" s="45">
        <v>650</v>
      </c>
      <c r="D56" s="34"/>
    </row>
    <row r="57" ht="20.05" customHeight="1">
      <c r="B57" s="31"/>
      <c r="C57" s="45">
        <v>720</v>
      </c>
      <c r="D57" s="34"/>
    </row>
    <row r="58" ht="20.05" customHeight="1">
      <c r="B58" s="31"/>
      <c r="C58" s="45">
        <v>770</v>
      </c>
      <c r="D58" s="34"/>
    </row>
    <row r="59" ht="20.05" customHeight="1">
      <c r="B59" s="31"/>
      <c r="C59" s="45">
        <v>815</v>
      </c>
      <c r="D59" s="34"/>
    </row>
    <row r="60" ht="20.05" customHeight="1">
      <c r="B60" s="31"/>
      <c r="C60" s="45">
        <v>720</v>
      </c>
      <c r="D60" s="34"/>
    </row>
    <row r="61" ht="20.05" customHeight="1">
      <c r="B61" s="31"/>
      <c r="C61" s="45">
        <v>760</v>
      </c>
      <c r="D61" s="34"/>
    </row>
    <row r="62" ht="20.05" customHeight="1">
      <c r="B62" s="31"/>
      <c r="C62" s="45">
        <v>830</v>
      </c>
      <c r="D62" s="34"/>
    </row>
    <row r="63" ht="20.05" customHeight="1">
      <c r="B63" s="31"/>
      <c r="C63" s="45">
        <v>995</v>
      </c>
      <c r="D63" s="34"/>
    </row>
    <row r="64" ht="20.05" customHeight="1">
      <c r="B64" s="33">
        <v>2021</v>
      </c>
      <c r="C64" s="45">
        <v>855</v>
      </c>
      <c r="D64" s="34"/>
    </row>
    <row r="65" ht="20.05" customHeight="1">
      <c r="B65" s="31"/>
      <c r="C65" s="45">
        <v>1010</v>
      </c>
      <c r="D65" s="34"/>
    </row>
    <row r="66" ht="20.05" customHeight="1">
      <c r="B66" s="31"/>
      <c r="C66" s="45">
        <v>1135</v>
      </c>
      <c r="D66" s="17">
        <v>2580.995614150780</v>
      </c>
    </row>
    <row r="67" ht="20.05" customHeight="1">
      <c r="B67" s="31"/>
      <c r="C67" s="45">
        <v>1005</v>
      </c>
      <c r="D67" s="17">
        <v>2303.069498412030</v>
      </c>
    </row>
    <row r="68" ht="20.05" customHeight="1">
      <c r="B68" s="31"/>
      <c r="C68" s="45">
        <v>975</v>
      </c>
      <c r="D68" s="17">
        <v>2303.069498412030</v>
      </c>
    </row>
    <row r="69" ht="20.05" customHeight="1">
      <c r="B69" s="31"/>
      <c r="C69" s="45">
        <v>880</v>
      </c>
      <c r="D69" s="17">
        <v>2303.069498412030</v>
      </c>
    </row>
    <row r="70" ht="20.05" customHeight="1">
      <c r="B70" s="31"/>
      <c r="C70" s="45">
        <v>955</v>
      </c>
      <c r="D70" s="17">
        <v>2303.069498412030</v>
      </c>
    </row>
    <row r="71" ht="20.05" customHeight="1">
      <c r="B71" s="31"/>
      <c r="C71" s="45">
        <v>1010</v>
      </c>
      <c r="D71" s="17">
        <v>2672.099192261540</v>
      </c>
    </row>
    <row r="72" ht="20.05" customHeight="1">
      <c r="B72" s="31"/>
      <c r="C72" s="45">
        <v>975</v>
      </c>
      <c r="D72" s="34"/>
    </row>
    <row r="73" ht="20.05" customHeight="1">
      <c r="B73" s="31"/>
      <c r="C73" s="45">
        <v>1080</v>
      </c>
      <c r="D73" s="34"/>
    </row>
    <row r="74" ht="20.05" customHeight="1">
      <c r="B74" s="31"/>
      <c r="C74" s="45">
        <v>1055</v>
      </c>
      <c r="D74" s="17">
        <f>C74</f>
        <v>1055</v>
      </c>
    </row>
    <row r="75" ht="20.05" customHeight="1">
      <c r="B75" s="31"/>
      <c r="C75" s="45"/>
      <c r="D75" s="17">
        <f>'Model'!F41</f>
        <v>2053.943051453680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