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<sst xmlns="http://schemas.openxmlformats.org/spreadsheetml/2006/main" uniqueCount="62">
  <si>
    <t>Financial model</t>
  </si>
  <si>
    <t>Rpbn</t>
  </si>
  <si>
    <t>4Q 2022</t>
  </si>
  <si>
    <t>Cashflow</t>
  </si>
  <si>
    <t>Growth</t>
  </si>
  <si>
    <t>Sales</t>
  </si>
  <si>
    <t>Cost ratio</t>
  </si>
  <si>
    <t xml:space="preserve">Cash costs </t>
  </si>
  <si>
    <t>Operating</t>
  </si>
  <si>
    <t>Investment</t>
  </si>
  <si>
    <t>Finance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</si>
  <si>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</si>
  <si>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</si>
  <si>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</si>
  <si>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</si>
  <si>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</si>
  <si>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</si>
  <si>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</si>
  <si>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</si>
  <si>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Depreciation </t>
  </si>
  <si>
    <t>Provision</t>
  </si>
  <si>
    <t xml:space="preserve">Net profit </t>
  </si>
  <si>
    <t>Balance sheet</t>
  </si>
  <si>
    <t>Other assets</t>
  </si>
  <si>
    <t>Net other assets</t>
  </si>
  <si>
    <t xml:space="preserve">Liabilities </t>
  </si>
  <si>
    <t xml:space="preserve">Equity </t>
  </si>
  <si>
    <t xml:space="preserve">Check </t>
  </si>
  <si>
    <t xml:space="preserve">Valuation </t>
  </si>
  <si>
    <t>Capital</t>
  </si>
  <si>
    <t xml:space="preserve">Current value </t>
  </si>
  <si>
    <t>P/assets</t>
  </si>
  <si>
    <t>Yield</t>
  </si>
  <si>
    <t xml:space="preserve">Forecast </t>
  </si>
  <si>
    <t>Value</t>
  </si>
  <si>
    <t>Shares</t>
  </si>
  <si>
    <t>Target</t>
  </si>
  <si>
    <t xml:space="preserve">Current </t>
  </si>
  <si>
    <t xml:space="preserve">V target </t>
  </si>
  <si>
    <t xml:space="preserve">12 months growth </t>
  </si>
  <si>
    <t xml:space="preserve">Sales forecasts </t>
  </si>
  <si>
    <t>Forecast</t>
  </si>
  <si>
    <t xml:space="preserve">Impairment losses </t>
  </si>
  <si>
    <t xml:space="preserve">Net profit  </t>
  </si>
  <si>
    <t xml:space="preserve">Receipts growth </t>
  </si>
  <si>
    <t>Receipts to assets</t>
  </si>
  <si>
    <t>Receipts</t>
  </si>
  <si>
    <t>Operating ex working capital</t>
  </si>
  <si>
    <t xml:space="preserve">Operating </t>
  </si>
  <si>
    <t xml:space="preserve">Investing </t>
  </si>
  <si>
    <t xml:space="preserve">Free cashflow </t>
  </si>
  <si>
    <t xml:space="preserve">Capital </t>
  </si>
  <si>
    <t xml:space="preserve">  Cash</t>
  </si>
  <si>
    <t>Assets</t>
  </si>
  <si>
    <t>Depreciation &amp; provisions</t>
  </si>
  <si>
    <t xml:space="preserve">Other assets growth </t>
  </si>
  <si>
    <t>Liabilities growth</t>
  </si>
  <si>
    <t>Net cash</t>
  </si>
  <si>
    <t>Share price</t>
  </si>
  <si>
    <t>BNGA</t>
  </si>
  <si>
    <t xml:space="preserve">Previous </t>
  </si>
  <si>
    <t>Total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</si>
</sst>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#,##0%"/>
    <numFmt numFmtId="60" formatCode="0%_);[Red]\(0%\)"/>
    <numFmt numFmtId="61" formatCode="0.0"/>
    <numFmt numFmtId="62" formatCode="#,##0.0%_);[Red]\(#,##0.0%\)"/>
    <numFmt numFmtId="63" formatCode="#,##0.0"/>
    <numFmt numFmtId="64" formatCode="#,##0.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63" fontId="0" borderId="4" applyNumberFormat="1" applyFont="1" applyFill="0" applyBorder="1" applyAlignment="1" applyProtection="0">
      <alignment vertical="top" wrapText="1"/>
    </xf>
    <xf numFmtId="6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1" fontId="0" borderId="4" applyNumberFormat="1" applyFont="1" applyFill="0" applyBorder="1" applyAlignment="1" applyProtection="0">
      <alignment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0" applyNumberFormat="1" applyFont="1" applyFill="0" applyBorder="0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  <rgbColor rgb="ffb8b8b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6717"/>
          <c:y val="0.0446026"/>
          <c:w val="0.813078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'Capital'!$E$3:$E$19</c:f>
              <c:numCache>
                <c:ptCount val="17"/>
                <c:pt idx="0">
                  <c:v>-793.750000</c:v>
                </c:pt>
                <c:pt idx="1">
                  <c:v>-935.527000</c:v>
                </c:pt>
                <c:pt idx="2">
                  <c:v>-816.776000</c:v>
                </c:pt>
                <c:pt idx="3">
                  <c:v>-438.873000</c:v>
                </c:pt>
                <c:pt idx="4">
                  <c:v>-519.629000</c:v>
                </c:pt>
                <c:pt idx="5">
                  <c:v>2250.381000</c:v>
                </c:pt>
                <c:pt idx="6">
                  <c:v>5249.871000</c:v>
                </c:pt>
                <c:pt idx="7">
                  <c:v>9067.319000</c:v>
                </c:pt>
                <c:pt idx="8">
                  <c:v>13325.022000</c:v>
                </c:pt>
                <c:pt idx="9">
                  <c:v>13243.991000</c:v>
                </c:pt>
                <c:pt idx="10">
                  <c:v>9787.495000</c:v>
                </c:pt>
                <c:pt idx="11">
                  <c:v>6053.840000</c:v>
                </c:pt>
                <c:pt idx="12">
                  <c:v>6208.921000</c:v>
                </c:pt>
                <c:pt idx="13">
                  <c:v>1665.721000</c:v>
                </c:pt>
                <c:pt idx="14">
                  <c:v>3765.157000</c:v>
                </c:pt>
                <c:pt idx="15">
                  <c:v>-1425.485000</c:v>
                </c:pt>
                <c:pt idx="16">
                  <c:v>-2101.485000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'Capital'!$F$3:$F$19</c:f>
              <c:numCache>
                <c:ptCount val="17"/>
                <c:pt idx="0">
                  <c:v>1148.197000</c:v>
                </c:pt>
                <c:pt idx="1">
                  <c:v>1097.354000</c:v>
                </c:pt>
                <c:pt idx="2">
                  <c:v>824.174000</c:v>
                </c:pt>
                <c:pt idx="3">
                  <c:v>902.436000</c:v>
                </c:pt>
                <c:pt idx="4">
                  <c:v>597.266000</c:v>
                </c:pt>
                <c:pt idx="5">
                  <c:v>597.266000</c:v>
                </c:pt>
                <c:pt idx="6">
                  <c:v>1893.399000</c:v>
                </c:pt>
                <c:pt idx="7">
                  <c:v>1893.399000</c:v>
                </c:pt>
                <c:pt idx="8">
                  <c:v>1893.399000</c:v>
                </c:pt>
                <c:pt idx="9">
                  <c:v>1893.399000</c:v>
                </c:pt>
                <c:pt idx="10">
                  <c:v>1893.399000</c:v>
                </c:pt>
                <c:pt idx="11">
                  <c:v>1893.399000</c:v>
                </c:pt>
                <c:pt idx="12">
                  <c:v>1650.499000</c:v>
                </c:pt>
                <c:pt idx="13">
                  <c:v>1047.699000</c:v>
                </c:pt>
                <c:pt idx="14">
                  <c:v>347.249000</c:v>
                </c:pt>
                <c:pt idx="15">
                  <c:v>-1045.751000</c:v>
                </c:pt>
                <c:pt idx="16">
                  <c:v>-2144.751000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'Capital'!$A$3:$A$19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'Capital'!$G$3:$G$19</c:f>
              <c:numCache>
                <c:ptCount val="17"/>
                <c:pt idx="0">
                  <c:v>354.447000</c:v>
                </c:pt>
                <c:pt idx="1">
                  <c:v>161.827000</c:v>
                </c:pt>
                <c:pt idx="2">
                  <c:v>7.398000</c:v>
                </c:pt>
                <c:pt idx="3">
                  <c:v>463.563000</c:v>
                </c:pt>
                <c:pt idx="4">
                  <c:v>77.637000</c:v>
                </c:pt>
                <c:pt idx="5">
                  <c:v>2847.647000</c:v>
                </c:pt>
                <c:pt idx="6">
                  <c:v>7143.270000</c:v>
                </c:pt>
                <c:pt idx="7">
                  <c:v>10960.718000</c:v>
                </c:pt>
                <c:pt idx="8">
                  <c:v>15218.421000</c:v>
                </c:pt>
                <c:pt idx="9">
                  <c:v>15137.390000</c:v>
                </c:pt>
                <c:pt idx="10">
                  <c:v>11680.894000</c:v>
                </c:pt>
                <c:pt idx="11">
                  <c:v>7947.239000</c:v>
                </c:pt>
                <c:pt idx="12">
                  <c:v>7859.420000</c:v>
                </c:pt>
                <c:pt idx="13">
                  <c:v>2713.420000</c:v>
                </c:pt>
                <c:pt idx="14">
                  <c:v>4112.406000</c:v>
                </c:pt>
                <c:pt idx="15">
                  <c:v>-2471.236000</c:v>
                </c:pt>
                <c:pt idx="16">
                  <c:v>-4246.236000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6000"/>
        <c:minorUnit val="300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32105"/>
          <c:y val="0.0665299"/>
          <c:w val="0.378603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550138</xdr:colOff>
      <xdr:row>1</xdr:row>
      <xdr:rowOff>326972</xdr:rowOff>
    </xdr:from>
    <xdr:to>
      <xdr:col>13</xdr:col>
      <xdr:colOff>420336</xdr:colOff>
      <xdr:row>46</xdr:row>
      <xdr:rowOff>108024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290538" y="574622"/>
          <a:ext cx="8582399" cy="113647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27</xdr:row>
      <xdr:rowOff>141155</xdr:rowOff>
    </xdr:from>
    <xdr:to>
      <xdr:col>4</xdr:col>
      <xdr:colOff>63817</xdr:colOff>
      <xdr:row>40</xdr:row>
      <xdr:rowOff>192781</xdr:rowOff>
    </xdr:to>
    <xdr:graphicFrame>
      <xdr:nvGraphicFramePr>
        <xdr:cNvPr id="4" name="2D Line Chart"/>
        <xdr:cNvGraphicFramePr/>
      </xdr:nvGraphicFramePr>
      <xdr:xfrm>
        <a:off x="-207395" y="7102660"/>
        <a:ext cx="3670618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1.8672" style="1" customWidth="1"/>
    <col min="2" max="2" width="18.0938" style="1" customWidth="1"/>
    <col min="3" max="6" width="8.75781" style="1" customWidth="1"/>
    <col min="7" max="16384" width="16.3516" style="1" customWidth="1"/>
  </cols>
  <sheetData>
    <row r="1" ht="19.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4"/>
      <c r="E3" t="s" s="5">
        <v>2</v>
      </c>
      <c r="F3" s="4"/>
    </row>
    <row r="4" ht="20.3" customHeight="1">
      <c r="B4" t="s" s="6">
        <v>3</v>
      </c>
      <c r="C4" s="7">
        <f>AVERAGE('Sales'!H25:H28)</f>
        <v>-0.0046122978954703</v>
      </c>
      <c r="D4" s="8"/>
      <c r="E4" s="8"/>
      <c r="F4" s="8">
        <f>AVERAGE(C5:F5)</f>
        <v>0.0275</v>
      </c>
    </row>
    <row r="5" ht="20.1" customHeight="1">
      <c r="B5" t="s" s="9">
        <v>4</v>
      </c>
      <c r="C5" s="10">
        <v>0.03</v>
      </c>
      <c r="D5" s="11">
        <v>0.04</v>
      </c>
      <c r="E5" s="11">
        <v>0.05</v>
      </c>
      <c r="F5" s="11">
        <v>-0.01</v>
      </c>
    </row>
    <row r="6" ht="20.1" customHeight="1">
      <c r="B6" t="s" s="9">
        <v>5</v>
      </c>
      <c r="C6" s="12">
        <f>'Sales'!C28*(1+C5)</f>
        <v>4721.417</v>
      </c>
      <c r="D6" s="13">
        <f>C6*(1+D5)</f>
        <v>4910.27368</v>
      </c>
      <c r="E6" s="13">
        <f>D6*(1+E5)</f>
        <v>5155.787364</v>
      </c>
      <c r="F6" s="13">
        <f>E6*(1+F5)</f>
        <v>5104.22949036</v>
      </c>
    </row>
    <row r="7" ht="20.1" customHeight="1">
      <c r="B7" t="s" s="9">
        <v>6</v>
      </c>
      <c r="C7" s="14">
        <f>AVERAGE('Sales'!J28)</f>
        <v>-0.6825192521651871</v>
      </c>
      <c r="D7" s="15">
        <f>C7</f>
        <v>-0.6825192521651871</v>
      </c>
      <c r="E7" s="15">
        <f>D7</f>
        <v>-0.6825192521651871</v>
      </c>
      <c r="F7" s="15">
        <f>E7</f>
        <v>-0.6825192521651871</v>
      </c>
    </row>
    <row r="8" ht="20.1" customHeight="1">
      <c r="B8" t="s" s="9">
        <v>7</v>
      </c>
      <c r="C8" s="16">
        <f>C7*C6</f>
        <v>-3222.458</v>
      </c>
      <c r="D8" s="17">
        <f>D7*D6</f>
        <v>-3351.35632</v>
      </c>
      <c r="E8" s="17">
        <f>E7*E6</f>
        <v>-3518.924136</v>
      </c>
      <c r="F8" s="17">
        <f>F7*F6</f>
        <v>-3483.73489464</v>
      </c>
    </row>
    <row r="9" ht="20.1" customHeight="1">
      <c r="B9" t="s" s="9">
        <v>8</v>
      </c>
      <c r="C9" s="16">
        <f>C6+C8</f>
        <v>1498.959</v>
      </c>
      <c r="D9" s="17">
        <f>D6+D8</f>
        <v>1558.91736</v>
      </c>
      <c r="E9" s="17">
        <f>E6+E8</f>
        <v>1636.863228</v>
      </c>
      <c r="F9" s="17">
        <f>F6+F8</f>
        <v>1620.49459572</v>
      </c>
    </row>
    <row r="10" ht="20.05" customHeight="1">
      <c r="B10" t="s" s="9">
        <v>9</v>
      </c>
      <c r="C10" s="16">
        <f>AVERAGE('Cashflow'!F27:F28)</f>
        <v>-250.9</v>
      </c>
      <c r="D10" s="17">
        <f>C10</f>
        <v>-250.9</v>
      </c>
      <c r="E10" s="17">
        <f>D10</f>
        <v>-250.9</v>
      </c>
      <c r="F10" s="17">
        <f>E10</f>
        <v>-250.9</v>
      </c>
    </row>
    <row r="11" ht="20.1" customHeight="1">
      <c r="B11" t="s" s="9">
        <v>10</v>
      </c>
      <c r="C11" s="16">
        <f>C14+C12</f>
        <v>-55.6977</v>
      </c>
      <c r="D11" s="17">
        <f>D14+D12</f>
        <v>-73.685208</v>
      </c>
      <c r="E11" s="17">
        <f>E14+E12</f>
        <v>-97.0689684</v>
      </c>
      <c r="F11" s="17">
        <f>F14+F12</f>
        <v>-92.158378716</v>
      </c>
    </row>
    <row r="12" ht="20.1" customHeight="1">
      <c r="B12" t="s" s="9">
        <v>11</v>
      </c>
      <c r="C12" s="16">
        <f>-MIN(0,C15)</f>
        <v>0</v>
      </c>
      <c r="D12" s="17">
        <f>-MIN(C28,D15)</f>
        <v>0</v>
      </c>
      <c r="E12" s="17">
        <f>-MIN(D28,E15)</f>
        <v>0</v>
      </c>
      <c r="F12" s="17">
        <f>-MIN(E28,F15)</f>
        <v>0</v>
      </c>
    </row>
    <row r="13" ht="20.1" customHeight="1">
      <c r="B13" t="s" s="9">
        <v>12</v>
      </c>
      <c r="C13" s="18">
        <v>0.3</v>
      </c>
      <c r="D13" s="19"/>
      <c r="E13" s="19"/>
      <c r="F13" s="19"/>
    </row>
    <row r="14" ht="20.1" customHeight="1">
      <c r="B14" t="s" s="9">
        <v>13</v>
      </c>
      <c r="C14" s="20">
        <f>IF(C22&gt;0,-C22*$C$13,0)</f>
        <v>-55.6977</v>
      </c>
      <c r="D14" s="19">
        <f>IF(D22&gt;0,-D22*$C$13,0)</f>
        <v>-73.685208</v>
      </c>
      <c r="E14" s="19">
        <f>IF(E22&gt;0,-E22*$C$13,0)</f>
        <v>-97.0689684</v>
      </c>
      <c r="F14" s="19">
        <f>IF(F22&gt;0,-F22*$C$13,0)</f>
        <v>-92.158378716</v>
      </c>
    </row>
    <row r="15" ht="20.05" customHeight="1">
      <c r="B15" t="s" s="9">
        <v>14</v>
      </c>
      <c r="C15" s="16">
        <f>C9+C10+C14</f>
        <v>1192.3613</v>
      </c>
      <c r="D15" s="17">
        <f>D9+D10+D14</f>
        <v>1234.332152</v>
      </c>
      <c r="E15" s="17">
        <f>E9+E10+E14</f>
        <v>1288.8942596</v>
      </c>
      <c r="F15" s="17">
        <f>F9+F10+F14</f>
        <v>1277.436217004</v>
      </c>
    </row>
    <row r="16" ht="20.1" customHeight="1">
      <c r="B16" t="s" s="9">
        <v>15</v>
      </c>
      <c r="C16" s="16">
        <f>'Balance Sheet '!C28</f>
        <v>37106</v>
      </c>
      <c r="D16" s="17">
        <f>C18</f>
        <v>38298.3613</v>
      </c>
      <c r="E16" s="17">
        <f>D18</f>
        <v>39532.693452</v>
      </c>
      <c r="F16" s="17">
        <f>E18</f>
        <v>40821.5877116</v>
      </c>
    </row>
    <row r="17" ht="20.1" customHeight="1">
      <c r="B17" t="s" s="9">
        <v>16</v>
      </c>
      <c r="C17" s="16">
        <f>C9+C10+C11</f>
        <v>1192.3613</v>
      </c>
      <c r="D17" s="17">
        <f>D9+D10+D11</f>
        <v>1234.332152</v>
      </c>
      <c r="E17" s="17">
        <f>E9+E10+E11</f>
        <v>1288.8942596</v>
      </c>
      <c r="F17" s="17">
        <f>F9+F10+F11</f>
        <v>1277.436217004</v>
      </c>
    </row>
    <row r="18" ht="20.1" customHeight="1">
      <c r="B18" t="s" s="9">
        <v>17</v>
      </c>
      <c r="C18" s="16">
        <f>C16+C17</f>
        <v>38298.3613</v>
      </c>
      <c r="D18" s="17">
        <f>D16+D17</f>
        <v>39532.693452</v>
      </c>
      <c r="E18" s="17">
        <f>E16+E17</f>
        <v>40821.5877116</v>
      </c>
      <c r="F18" s="17">
        <f>F16+F17</f>
        <v>42099.023928604</v>
      </c>
    </row>
    <row r="19" ht="20.1" customHeight="1">
      <c r="B19" t="s" s="21">
        <v>18</v>
      </c>
      <c r="C19" s="22"/>
      <c r="D19" s="23"/>
      <c r="E19" s="23"/>
      <c r="F19" s="23"/>
    </row>
    <row r="20" ht="20.1" customHeight="1">
      <c r="B20" t="s" s="9">
        <v>19</v>
      </c>
      <c r="C20" s="16">
        <f>-AVERAGE('Sales'!F28)</f>
        <v>-246.4</v>
      </c>
      <c r="D20" s="17">
        <f>C20</f>
        <v>-246.4</v>
      </c>
      <c r="E20" s="17">
        <f>D20</f>
        <v>-246.4</v>
      </c>
      <c r="F20" s="17">
        <f>E20</f>
        <v>-246.4</v>
      </c>
    </row>
    <row r="21" ht="20.1" customHeight="1">
      <c r="B21" t="s" s="9">
        <v>20</v>
      </c>
      <c r="C21" s="16">
        <f>-AVERAGE('Sales'!E27)</f>
        <v>-1066.9</v>
      </c>
      <c r="D21" s="17">
        <f>C21</f>
        <v>-1066.9</v>
      </c>
      <c r="E21" s="17">
        <f>D21</f>
        <v>-1066.9</v>
      </c>
      <c r="F21" s="17">
        <f>E21</f>
        <v>-1066.9</v>
      </c>
    </row>
    <row r="22" ht="20.1" customHeight="1">
      <c r="B22" t="s" s="9">
        <v>21</v>
      </c>
      <c r="C22" s="16">
        <f>C6+C8+C20+C21</f>
        <v>185.659</v>
      </c>
      <c r="D22" s="17">
        <f>D6+D8+D20+D21</f>
        <v>245.61736</v>
      </c>
      <c r="E22" s="17">
        <f>E6+E8+E20+E21</f>
        <v>323.563228</v>
      </c>
      <c r="F22" s="17">
        <f>F6+F8+F20+F21</f>
        <v>307.19459572</v>
      </c>
    </row>
    <row r="23" ht="20.1" customHeight="1">
      <c r="B23" t="s" s="21">
        <v>22</v>
      </c>
      <c r="C23" s="22"/>
      <c r="D23" s="23"/>
      <c r="E23" s="17"/>
      <c r="F23" s="23"/>
    </row>
    <row r="24" ht="20.1" customHeight="1">
      <c r="B24" t="s" s="9">
        <v>23</v>
      </c>
      <c r="C24" s="16">
        <f>'Balance Sheet '!E28+'Balance Sheet '!F28-C10</f>
        <v>289384.9</v>
      </c>
      <c r="D24" s="17">
        <f>C24-D10</f>
        <v>289635.8</v>
      </c>
      <c r="E24" s="17">
        <f>D24-E10</f>
        <v>289886.7</v>
      </c>
      <c r="F24" s="17">
        <f>E24-F10</f>
        <v>290137.6</v>
      </c>
    </row>
    <row r="25" ht="20.1" customHeight="1">
      <c r="B25" t="s" s="9">
        <v>19</v>
      </c>
      <c r="C25" s="16">
        <f>'Balance Sheet '!F28-C20-C21</f>
        <v>20128.3</v>
      </c>
      <c r="D25" s="17">
        <f>C25-D20-D21</f>
        <v>21441.6</v>
      </c>
      <c r="E25" s="17">
        <f>D25-E20-E21</f>
        <v>22754.9</v>
      </c>
      <c r="F25" s="17">
        <f>E25-F20-F21</f>
        <v>24068.2</v>
      </c>
    </row>
    <row r="26" ht="20.1" customHeight="1">
      <c r="B26" t="s" s="9">
        <v>24</v>
      </c>
      <c r="C26" s="16">
        <f>C24-C25</f>
        <v>269256.6</v>
      </c>
      <c r="D26" s="17">
        <f>D24-D25</f>
        <v>268194.2</v>
      </c>
      <c r="E26" s="17">
        <f>E24-E25</f>
        <v>267131.8</v>
      </c>
      <c r="F26" s="17">
        <f>F24-F25</f>
        <v>266069.4</v>
      </c>
    </row>
    <row r="27" ht="20.1" customHeight="1">
      <c r="B27" t="s" s="9">
        <v>25</v>
      </c>
      <c r="C27" s="16">
        <f>'Balance Sheet '!G28</f>
        <v>262819</v>
      </c>
      <c r="D27" s="17">
        <f>C27</f>
        <v>262819</v>
      </c>
      <c r="E27" s="17">
        <f>D27</f>
        <v>262819</v>
      </c>
      <c r="F27" s="17">
        <f>E27</f>
        <v>262819</v>
      </c>
    </row>
    <row r="28" ht="20.1" customHeight="1">
      <c r="B28" t="s" s="9">
        <v>11</v>
      </c>
      <c r="C28" s="16">
        <f>C12</f>
        <v>0</v>
      </c>
      <c r="D28" s="17">
        <f>C28+D12</f>
        <v>0</v>
      </c>
      <c r="E28" s="17">
        <f>D28+E12</f>
        <v>0</v>
      </c>
      <c r="F28" s="17">
        <f>E28+F12</f>
        <v>0</v>
      </c>
    </row>
    <row r="29" ht="20.1" customHeight="1">
      <c r="B29" t="s" s="9">
        <v>26</v>
      </c>
      <c r="C29" s="16">
        <f>'Balance Sheet '!H28+C22+C14</f>
        <v>44735.9613</v>
      </c>
      <c r="D29" s="17">
        <f>C29+D22+D14</f>
        <v>44907.893452</v>
      </c>
      <c r="E29" s="17">
        <f>D29+E22+E14</f>
        <v>45134.3877116</v>
      </c>
      <c r="F29" s="17">
        <f>E29+F22+F14</f>
        <v>45349.423928604</v>
      </c>
    </row>
    <row r="30" ht="20.1" customHeight="1">
      <c r="B30" t="s" s="9">
        <v>27</v>
      </c>
      <c r="C30" s="16">
        <f>C27+C28+C29-C18-C26</f>
        <v>0</v>
      </c>
      <c r="D30" s="17">
        <f>D27+D28+D29-D18-D26</f>
        <v>0</v>
      </c>
      <c r="E30" s="17">
        <f>E27+E28+E29-E18-E26</f>
        <v>0</v>
      </c>
      <c r="F30" s="17">
        <f>F27+F28+F29-F18-F26</f>
        <v>0</v>
      </c>
    </row>
    <row r="31" ht="20.1" customHeight="1">
      <c r="B31" t="s" s="21">
        <v>28</v>
      </c>
      <c r="C31" s="16"/>
      <c r="D31" s="17"/>
      <c r="E31" s="17"/>
      <c r="F31" s="17"/>
    </row>
    <row r="32" ht="20.1" customHeight="1">
      <c r="B32" t="s" s="9">
        <v>29</v>
      </c>
      <c r="C32" s="16">
        <f>'Cashflow'!M28-C11</f>
        <v>15229.6977</v>
      </c>
      <c r="D32" s="17">
        <f>C32-D11</f>
        <v>15303.382908</v>
      </c>
      <c r="E32" s="17">
        <f>D32-E11</f>
        <v>15400.4518764</v>
      </c>
      <c r="F32" s="17">
        <f>E32-F11</f>
        <v>15492.610255116</v>
      </c>
    </row>
    <row r="33" ht="20.1" customHeight="1">
      <c r="B33" t="s" s="9">
        <v>30</v>
      </c>
      <c r="C33" s="16"/>
      <c r="D33" s="17"/>
      <c r="E33" s="17"/>
      <c r="F33" s="17">
        <v>26549491335168</v>
      </c>
    </row>
    <row r="34" ht="20.1" customHeight="1">
      <c r="B34" t="s" s="9">
        <v>30</v>
      </c>
      <c r="C34" s="16"/>
      <c r="D34" s="17"/>
      <c r="E34" s="17"/>
      <c r="F34" s="17">
        <f>F33/1000000000</f>
        <v>26549.491335168</v>
      </c>
    </row>
    <row r="35" ht="20.1" customHeight="1">
      <c r="B35" t="s" s="9">
        <v>31</v>
      </c>
      <c r="C35" s="16"/>
      <c r="D35" s="17"/>
      <c r="E35" s="17"/>
      <c r="F35" s="24">
        <f>F34/(F18+F26)</f>
        <v>0.0861525363199409</v>
      </c>
    </row>
    <row r="36" ht="20.1" customHeight="1">
      <c r="B36" t="s" s="9">
        <v>32</v>
      </c>
      <c r="C36" s="16"/>
      <c r="D36" s="17"/>
      <c r="E36" s="17"/>
      <c r="F36" s="15">
        <f>-(C14+D14+E14+F14)/F34</f>
        <v>0.0120006161735371</v>
      </c>
    </row>
    <row r="37" ht="20.1" customHeight="1">
      <c r="B37" t="s" s="9">
        <v>3</v>
      </c>
      <c r="C37" s="16"/>
      <c r="D37" s="17"/>
      <c r="E37" s="17"/>
      <c r="F37" s="17">
        <f>SUM(C9:F10)</f>
        <v>5311.63418372</v>
      </c>
    </row>
    <row r="38" ht="20.1" customHeight="1">
      <c r="B38" t="s" s="9">
        <v>28</v>
      </c>
      <c r="C38" s="16"/>
      <c r="D38" s="17"/>
      <c r="E38" s="17"/>
      <c r="F38" s="17">
        <f>F34/F37</f>
        <v>4.99836592974369</v>
      </c>
    </row>
    <row r="39" ht="20.1" customHeight="1">
      <c r="B39" t="s" s="9">
        <v>33</v>
      </c>
      <c r="C39" s="16"/>
      <c r="D39" s="17"/>
      <c r="E39" s="17"/>
      <c r="F39" s="17">
        <v>7</v>
      </c>
    </row>
    <row r="40" ht="20.1" customHeight="1">
      <c r="B40" t="s" s="9">
        <v>34</v>
      </c>
      <c r="C40" s="16"/>
      <c r="D40" s="17"/>
      <c r="E40" s="17"/>
      <c r="F40" s="17">
        <f>F37*F39</f>
        <v>37181.43928604</v>
      </c>
    </row>
    <row r="41" ht="20.1" customHeight="1">
      <c r="B41" t="s" s="9">
        <v>35</v>
      </c>
      <c r="C41" s="16"/>
      <c r="D41" s="17"/>
      <c r="E41" s="17"/>
      <c r="F41" s="17">
        <f>F34/F43</f>
        <v>24.9290998452282</v>
      </c>
    </row>
    <row r="42" ht="20.1" customHeight="1">
      <c r="B42" t="s" s="9">
        <v>36</v>
      </c>
      <c r="C42" s="16"/>
      <c r="D42" s="17"/>
      <c r="E42" s="17"/>
      <c r="F42" s="17">
        <f>F40/F41</f>
        <v>1491.487439052360</v>
      </c>
    </row>
    <row r="43" ht="20.1" customHeight="1">
      <c r="B43" t="s" s="9">
        <v>37</v>
      </c>
      <c r="C43" s="16"/>
      <c r="D43" s="17"/>
      <c r="E43" s="17"/>
      <c r="F43" s="17">
        <v>1065</v>
      </c>
    </row>
    <row r="44" ht="20.1" customHeight="1">
      <c r="B44" t="s" s="9">
        <v>38</v>
      </c>
      <c r="C44" s="16"/>
      <c r="D44" s="17"/>
      <c r="E44" s="17"/>
      <c r="F44" s="15">
        <f>F42/F43-1</f>
        <v>0.400457689251042</v>
      </c>
    </row>
    <row r="45" ht="20.1" customHeight="1">
      <c r="B45" t="s" s="9">
        <v>39</v>
      </c>
      <c r="C45" s="16"/>
      <c r="D45" s="17"/>
      <c r="E45" s="17"/>
      <c r="F45" s="15">
        <f>'Sales'!C28/'Sales'!C24-1</f>
        <v>-0.0396589290203637</v>
      </c>
    </row>
    <row r="46" ht="20.1" customHeight="1">
      <c r="B46" t="s" s="9">
        <v>40</v>
      </c>
      <c r="C46" s="16"/>
      <c r="D46" s="17"/>
      <c r="E46" s="17"/>
      <c r="F46" s="15">
        <f>'Sales'!F31/'Sales'!E31-1</f>
        <v>0.0253277776565806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95312" style="25" customWidth="1"/>
    <col min="2" max="2" width="9.92969" style="25" customWidth="1"/>
    <col min="3" max="5" width="9.30469" style="25" customWidth="1"/>
    <col min="6" max="6" width="12.2266" style="25" customWidth="1"/>
    <col min="7" max="12" width="10.5312" style="25" customWidth="1"/>
    <col min="13" max="16384" width="16.3516" style="25" customWidth="1"/>
  </cols>
  <sheetData>
    <row r="1" ht="34.4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5">
        <v>1</v>
      </c>
      <c r="C3" t="s" s="5">
        <v>5</v>
      </c>
      <c r="D3" t="s" s="5">
        <v>41</v>
      </c>
      <c r="E3" t="s" s="5">
        <v>42</v>
      </c>
      <c r="F3" t="s" s="5">
        <v>19</v>
      </c>
      <c r="G3" t="s" s="5">
        <v>43</v>
      </c>
      <c r="H3" t="s" s="5">
        <v>44</v>
      </c>
      <c r="I3" t="s" s="5">
        <v>45</v>
      </c>
      <c r="J3" t="s" s="5">
        <v>6</v>
      </c>
      <c r="K3" t="s" s="5">
        <v>6</v>
      </c>
      <c r="L3" t="s" s="5">
        <v>33</v>
      </c>
    </row>
    <row r="4" ht="20.25" customHeight="1">
      <c r="B4" s="26">
        <v>2016</v>
      </c>
      <c r="C4" s="27">
        <v>5394.4</v>
      </c>
      <c r="D4" s="28"/>
      <c r="E4" s="28">
        <v>1330.37</v>
      </c>
      <c r="F4" s="28">
        <v>113.6</v>
      </c>
      <c r="G4" s="28">
        <v>268.68</v>
      </c>
      <c r="H4" s="29"/>
      <c r="I4" s="30">
        <f>'Cashflow'!C4/'Balance Sheet '!E4</f>
        <v>0.0280195388489896</v>
      </c>
      <c r="J4" s="31">
        <f>(G4+F4-C4)/C4</f>
        <v>-0.929133916654308</v>
      </c>
      <c r="K4" s="31"/>
      <c r="L4" s="31"/>
    </row>
    <row r="5" ht="20.05" customHeight="1">
      <c r="B5" s="32"/>
      <c r="C5" s="16">
        <v>5221.6</v>
      </c>
      <c r="D5" s="13"/>
      <c r="E5" s="13">
        <v>1203.93</v>
      </c>
      <c r="F5" s="13">
        <v>146.8</v>
      </c>
      <c r="G5" s="13">
        <v>467.32</v>
      </c>
      <c r="H5" s="15">
        <f>'Cashflow'!C5/'Cashflow'!C4-1</f>
        <v>-0.0246158589855594</v>
      </c>
      <c r="I5" s="33">
        <f>'Cashflow'!C5/'Balance Sheet '!E5</f>
        <v>0.0267268846126604</v>
      </c>
      <c r="J5" s="15">
        <f>(G5+F5-C5)/C5</f>
        <v>-0.882388539911138</v>
      </c>
      <c r="K5" s="15"/>
      <c r="L5" s="15"/>
    </row>
    <row r="6" ht="20.05" customHeight="1">
      <c r="B6" s="32"/>
      <c r="C6" s="16">
        <v>5379</v>
      </c>
      <c r="D6" s="13"/>
      <c r="E6" s="13">
        <v>1134.86</v>
      </c>
      <c r="F6" s="13">
        <v>116.8</v>
      </c>
      <c r="G6" s="13">
        <v>562.9</v>
      </c>
      <c r="H6" s="15">
        <f>'Cashflow'!C6/'Cashflow'!C5-1</f>
        <v>0.0123902353354408</v>
      </c>
      <c r="I6" s="33">
        <f>'Cashflow'!C6/'Balance Sheet '!E6</f>
        <v>0.0271670154904135</v>
      </c>
      <c r="J6" s="15">
        <f>(G6+F6-C6)/C6</f>
        <v>-0.873638222717977</v>
      </c>
      <c r="K6" s="15"/>
      <c r="L6" s="15"/>
    </row>
    <row r="7" ht="20.05" customHeight="1">
      <c r="B7" s="32"/>
      <c r="C7" s="16">
        <v>5329.6</v>
      </c>
      <c r="D7" s="13"/>
      <c r="E7" s="13">
        <v>1303.74</v>
      </c>
      <c r="F7" s="13">
        <v>169</v>
      </c>
      <c r="G7" s="13">
        <v>782.8</v>
      </c>
      <c r="H7" s="15">
        <f>'Cashflow'!C7/'Cashflow'!C6-1</f>
        <v>0.0411133566366846</v>
      </c>
      <c r="I7" s="33">
        <f>'Cashflow'!C7/'Balance Sheet '!E7</f>
        <v>0.0276081719324087</v>
      </c>
      <c r="J7" s="15">
        <f>(G7+F7-C7)/C7</f>
        <v>-0.821412488742119</v>
      </c>
      <c r="K7" s="15"/>
      <c r="L7" s="15"/>
    </row>
    <row r="8" ht="20.05" customHeight="1">
      <c r="B8" s="34">
        <v>2017</v>
      </c>
      <c r="C8" s="16">
        <v>5079.36</v>
      </c>
      <c r="D8" s="13"/>
      <c r="E8" s="13">
        <v>1079</v>
      </c>
      <c r="F8" s="13">
        <v>143.1</v>
      </c>
      <c r="G8" s="13">
        <v>639.5</v>
      </c>
      <c r="H8" s="15">
        <f>'Cashflow'!C8/'Cashflow'!C7-1</f>
        <v>-0.0760053652806358</v>
      </c>
      <c r="I8" s="33">
        <f>'Cashflow'!C8/'Balance Sheet '!E8</f>
        <v>0.0261327087697307</v>
      </c>
      <c r="J8" s="15">
        <f>(G8+F8-C8)/C8</f>
        <v>-0.845925470925471</v>
      </c>
      <c r="K8" s="15">
        <f>AVERAGE(J5:J8)</f>
        <v>-0.855841180574176</v>
      </c>
      <c r="L8" s="15"/>
    </row>
    <row r="9" ht="20.05" customHeight="1">
      <c r="B9" s="32"/>
      <c r="C9" s="16">
        <v>5101.44</v>
      </c>
      <c r="D9" s="13"/>
      <c r="E9" s="13">
        <v>1048.9</v>
      </c>
      <c r="F9" s="13">
        <v>142.8</v>
      </c>
      <c r="G9" s="13">
        <v>740.7</v>
      </c>
      <c r="H9" s="15">
        <f>'Cashflow'!C9/'Cashflow'!C8-1</f>
        <v>-0.000288527428138637</v>
      </c>
      <c r="I9" s="33">
        <f>'Cashflow'!C9/'Balance Sheet '!E9</f>
        <v>0.0256715988569799</v>
      </c>
      <c r="J9" s="15">
        <f>(G9+F9-C9)/C9</f>
        <v>-0.826813605570192</v>
      </c>
      <c r="K9" s="15">
        <f>AVERAGE(J6:J9)</f>
        <v>-0.84194744698894</v>
      </c>
      <c r="L9" s="15"/>
    </row>
    <row r="10" ht="20.05" customHeight="1">
      <c r="B10" s="32"/>
      <c r="C10" s="16">
        <v>5120.4</v>
      </c>
      <c r="D10" s="13"/>
      <c r="E10" s="13">
        <v>1029.1</v>
      </c>
      <c r="F10" s="13">
        <v>141.8</v>
      </c>
      <c r="G10" s="13">
        <v>816.8</v>
      </c>
      <c r="H10" s="15">
        <f>'Cashflow'!C10/'Cashflow'!C9-1</f>
        <v>0.0169558786392005</v>
      </c>
      <c r="I10" s="33">
        <f>'Cashflow'!C10/'Balance Sheet '!E10</f>
        <v>0.0257550216764656</v>
      </c>
      <c r="J10" s="15">
        <f>(G10+F10-C10)/C10</f>
        <v>-0.812788063432544</v>
      </c>
      <c r="K10" s="15">
        <f>AVERAGE(J7:J10)</f>
        <v>-0.826734907167582</v>
      </c>
      <c r="L10" s="15"/>
    </row>
    <row r="11" ht="20.05" customHeight="1">
      <c r="B11" s="32"/>
      <c r="C11" s="16">
        <v>5102.1</v>
      </c>
      <c r="D11" s="13"/>
      <c r="E11" s="13">
        <v>922.8</v>
      </c>
      <c r="F11" s="13">
        <v>141.6</v>
      </c>
      <c r="G11" s="13">
        <v>780.7</v>
      </c>
      <c r="H11" s="15">
        <f>'Cashflow'!C11/'Cashflow'!C10-1</f>
        <v>0.0194756820036184</v>
      </c>
      <c r="I11" s="33">
        <f>'Cashflow'!C11/'Balance Sheet '!E11</f>
        <v>0.0248791558505363</v>
      </c>
      <c r="J11" s="15">
        <f>(G11+F11-C11)/C11</f>
        <v>-0.819231296916956</v>
      </c>
      <c r="K11" s="15">
        <f>AVERAGE(J8:J11)</f>
        <v>-0.826189609211291</v>
      </c>
      <c r="L11" s="15"/>
    </row>
    <row r="12" ht="20.05" customHeight="1">
      <c r="B12" s="34">
        <v>2018</v>
      </c>
      <c r="C12" s="16">
        <v>5009.58</v>
      </c>
      <c r="D12" s="13"/>
      <c r="E12" s="13">
        <v>849.8</v>
      </c>
      <c r="F12" s="13">
        <v>145.4</v>
      </c>
      <c r="G12" s="13">
        <v>876.7</v>
      </c>
      <c r="H12" s="15">
        <f>'Cashflow'!C12/'Cashflow'!C11-1</f>
        <v>-0.0619736933676665</v>
      </c>
      <c r="I12" s="33">
        <f>'Cashflow'!C12/'Balance Sheet '!E12</f>
        <v>0.0232751303975431</v>
      </c>
      <c r="J12" s="15">
        <f>(G12+F12-C12)/C12</f>
        <v>-0.795970919717821</v>
      </c>
      <c r="K12" s="15">
        <f>AVERAGE(J9:J12)</f>
        <v>-0.813700971409378</v>
      </c>
      <c r="L12" s="15"/>
    </row>
    <row r="13" ht="20.05" customHeight="1">
      <c r="B13" s="32"/>
      <c r="C13" s="16">
        <v>4946.02</v>
      </c>
      <c r="D13" s="13"/>
      <c r="E13" s="13">
        <v>701.9</v>
      </c>
      <c r="F13" s="13">
        <v>139.3</v>
      </c>
      <c r="G13" s="13">
        <v>891.1</v>
      </c>
      <c r="H13" s="15">
        <f>'Cashflow'!C13/'Cashflow'!C12-1</f>
        <v>0.0108691619987387</v>
      </c>
      <c r="I13" s="33">
        <f>'Cashflow'!C13/'Balance Sheet '!E13</f>
        <v>0.0232360036120261</v>
      </c>
      <c r="J13" s="15">
        <f>(G13+F13-C13)/C13</f>
        <v>-0.791670878807607</v>
      </c>
      <c r="K13" s="15">
        <f>AVERAGE(J10:J13)</f>
        <v>-0.8049152897187321</v>
      </c>
      <c r="L13" s="15"/>
    </row>
    <row r="14" ht="20.05" customHeight="1">
      <c r="B14" s="32"/>
      <c r="C14" s="16">
        <v>5108.7</v>
      </c>
      <c r="D14" s="13"/>
      <c r="E14" s="13">
        <v>758</v>
      </c>
      <c r="F14" s="13">
        <v>139.6</v>
      </c>
      <c r="G14" s="13">
        <v>824</v>
      </c>
      <c r="H14" s="15">
        <f>'Cashflow'!C14/'Cashflow'!C13-1</f>
        <v>0.0168256880733945</v>
      </c>
      <c r="I14" s="33">
        <f>'Cashflow'!C14/'Balance Sheet '!E14</f>
        <v>0.0235714610801009</v>
      </c>
      <c r="J14" s="15">
        <f>(G14+F14-C14)/C14</f>
        <v>-0.811380586059076</v>
      </c>
      <c r="K14" s="15">
        <f>AVERAGE(J11:J14)</f>
        <v>-0.804563420375365</v>
      </c>
      <c r="L14" s="15"/>
    </row>
    <row r="15" ht="20.05" customHeight="1">
      <c r="B15" s="32"/>
      <c r="C15" s="16">
        <v>5228.9</v>
      </c>
      <c r="D15" s="13"/>
      <c r="E15" s="13">
        <v>719.8</v>
      </c>
      <c r="F15" s="13">
        <v>138.3</v>
      </c>
      <c r="G15" s="13">
        <v>890.6</v>
      </c>
      <c r="H15" s="15">
        <f>'Cashflow'!C15/'Cashflow'!C14-1</f>
        <v>0.0521681072595052</v>
      </c>
      <c r="I15" s="33">
        <f>'Cashflow'!C15/'Balance Sheet '!E15</f>
        <v>0.0243965506420475</v>
      </c>
      <c r="J15" s="15">
        <f>(G15+F15-C15)/C15</f>
        <v>-0.803228212434738</v>
      </c>
      <c r="K15" s="15">
        <f>AVERAGE(J12:J15)</f>
        <v>-0.800562649254811</v>
      </c>
      <c r="L15" s="15"/>
    </row>
    <row r="16" ht="20.05" customHeight="1">
      <c r="B16" s="34">
        <v>2019</v>
      </c>
      <c r="C16" s="16">
        <v>5249.6</v>
      </c>
      <c r="D16" s="13"/>
      <c r="E16" s="13">
        <v>712.3</v>
      </c>
      <c r="F16" s="13">
        <v>141.5</v>
      </c>
      <c r="G16" s="13">
        <v>944</v>
      </c>
      <c r="H16" s="15">
        <f>'Cashflow'!C16/'Cashflow'!C15-1</f>
        <v>-0.0235130685326199</v>
      </c>
      <c r="I16" s="33">
        <f>'Cashflow'!C16/'Balance Sheet '!E16</f>
        <v>0.0236828083450735</v>
      </c>
      <c r="J16" s="15">
        <f>(G16+F16-C16)/C16</f>
        <v>-0.793222340749771</v>
      </c>
      <c r="K16" s="15">
        <f>AVERAGE(J13:J16)</f>
        <v>-0.799875504512798</v>
      </c>
      <c r="L16" s="15"/>
    </row>
    <row r="17" ht="20.05" customHeight="1">
      <c r="B17" s="32"/>
      <c r="C17" s="16">
        <v>5573.1</v>
      </c>
      <c r="D17" s="13"/>
      <c r="E17" s="13">
        <v>809.1</v>
      </c>
      <c r="F17" s="13">
        <v>152.1</v>
      </c>
      <c r="G17" s="13">
        <v>1032.4</v>
      </c>
      <c r="H17" s="15">
        <f>'Cashflow'!C17/'Cashflow'!C16-1</f>
        <v>0.106363173331928</v>
      </c>
      <c r="I17" s="33">
        <f>'Cashflow'!C17/'Balance Sheet '!E17</f>
        <v>0.0263630367566681</v>
      </c>
      <c r="J17" s="15">
        <f>(G17+F17-C17)/C17</f>
        <v>-0.787461197538174</v>
      </c>
      <c r="K17" s="15">
        <f>AVERAGE(J14:J17)</f>
        <v>-0.79882308419544</v>
      </c>
      <c r="L17" s="15"/>
    </row>
    <row r="18" ht="20.05" customHeight="1">
      <c r="B18" s="32"/>
      <c r="C18" s="16">
        <v>5479.5</v>
      </c>
      <c r="D18" s="13"/>
      <c r="E18" s="13">
        <v>944.4</v>
      </c>
      <c r="F18" s="13">
        <v>117.1</v>
      </c>
      <c r="G18" s="13">
        <v>700.9</v>
      </c>
      <c r="H18" s="15">
        <f>'Cashflow'!C18/'Cashflow'!C17-1</f>
        <v>-0.0356865048497452</v>
      </c>
      <c r="I18" s="33">
        <f>'Cashflow'!C18/'Balance Sheet '!E18</f>
        <v>0.0252161398239001</v>
      </c>
      <c r="J18" s="15">
        <f>(G18+F18-C18)/C18</f>
        <v>-0.85071630623232</v>
      </c>
      <c r="K18" s="15">
        <f>AVERAGE(J15:J18)</f>
        <v>-0.808657014238751</v>
      </c>
      <c r="L18" s="15"/>
    </row>
    <row r="19" ht="20.05" customHeight="1">
      <c r="B19" s="32"/>
      <c r="C19" s="16">
        <v>5387.2</v>
      </c>
      <c r="D19" s="35"/>
      <c r="E19" s="13">
        <v>790.8</v>
      </c>
      <c r="F19" s="13">
        <v>119.8</v>
      </c>
      <c r="G19" s="13">
        <v>965.6</v>
      </c>
      <c r="H19" s="15">
        <f>'Cashflow'!C19/'Cashflow'!C18-1</f>
        <v>-0.0392131039591736</v>
      </c>
      <c r="I19" s="33">
        <f>'Cashflow'!C19/'Balance Sheet '!E19</f>
        <v>0.0241646423539358</v>
      </c>
      <c r="J19" s="15">
        <f>(G19+F19-C19)/C19</f>
        <v>-0.798522423522424</v>
      </c>
      <c r="K19" s="15">
        <f>AVERAGE(J16:J19)</f>
        <v>-0.8074805670106719</v>
      </c>
      <c r="L19" s="15"/>
    </row>
    <row r="20" ht="20.05" customHeight="1">
      <c r="B20" s="34">
        <v>2020</v>
      </c>
      <c r="C20" s="16">
        <v>5291.1</v>
      </c>
      <c r="D20" s="35"/>
      <c r="E20" s="13">
        <v>774.1</v>
      </c>
      <c r="F20" s="13">
        <v>143.4</v>
      </c>
      <c r="G20" s="13">
        <v>1055</v>
      </c>
      <c r="H20" s="15">
        <f>'Cashflow'!C20/'Cashflow'!C19-1</f>
        <v>-0.0203724962733239</v>
      </c>
      <c r="I20" s="33">
        <f>'Cashflow'!C20/'Balance Sheet '!E20</f>
        <v>0.0231341997227489</v>
      </c>
      <c r="J20" s="15">
        <f>(G20+F20-C20)/C20</f>
        <v>-0.773506454234469</v>
      </c>
      <c r="K20" s="15">
        <f>AVERAGE(J17:J20)</f>
        <v>-0.8025515953818469</v>
      </c>
      <c r="L20" s="15"/>
    </row>
    <row r="21" ht="20.05" customHeight="1">
      <c r="B21" s="32"/>
      <c r="C21" s="16">
        <v>5209.5</v>
      </c>
      <c r="D21" s="35"/>
      <c r="E21" s="13">
        <v>1277.2</v>
      </c>
      <c r="F21" s="13">
        <v>252.3</v>
      </c>
      <c r="G21" s="13">
        <v>689.2</v>
      </c>
      <c r="H21" s="15">
        <f>'Cashflow'!C21/'Cashflow'!C20-1</f>
        <v>-0.09032077517752821</v>
      </c>
      <c r="I21" s="33">
        <f>'Cashflow'!C21/'Balance Sheet '!E21</f>
        <v>0.0208041830768111</v>
      </c>
      <c r="J21" s="15">
        <f>(G21+F21-C21)/C21</f>
        <v>-0.8192724829638161</v>
      </c>
      <c r="K21" s="15">
        <f>AVERAGE(J18:J21)</f>
        <v>-0.810504416738257</v>
      </c>
      <c r="L21" s="15"/>
    </row>
    <row r="22" ht="20.05" customHeight="1">
      <c r="B22" s="32"/>
      <c r="C22" s="16">
        <v>5088.6</v>
      </c>
      <c r="D22" s="35"/>
      <c r="E22" s="13">
        <v>1602.2</v>
      </c>
      <c r="F22" s="13">
        <v>39.7</v>
      </c>
      <c r="G22" s="13">
        <v>119.3</v>
      </c>
      <c r="H22" s="15">
        <f>'Cashflow'!C22/'Cashflow'!C21-1</f>
        <v>-0.0494520284560661</v>
      </c>
      <c r="I22" s="33">
        <f>'Cashflow'!C22/'Balance Sheet '!E22</f>
        <v>0.019587077869312</v>
      </c>
      <c r="J22" s="15">
        <f>(G22+F22-C22)/C22</f>
        <v>-0.968753684706992</v>
      </c>
      <c r="K22" s="15">
        <f>AVERAGE(J19:J22)</f>
        <v>-0.840013761356925</v>
      </c>
      <c r="L22" s="15"/>
    </row>
    <row r="23" ht="20.05" customHeight="1">
      <c r="B23" s="32"/>
      <c r="C23" s="16">
        <v>5113.8</v>
      </c>
      <c r="D23" s="35"/>
      <c r="E23" s="13">
        <v>1750.4</v>
      </c>
      <c r="F23" s="13">
        <v>156.6</v>
      </c>
      <c r="G23" s="13">
        <v>147.7</v>
      </c>
      <c r="H23" s="15">
        <f>'Cashflow'!C23/'Cashflow'!C22-1</f>
        <v>0.07431530401715281</v>
      </c>
      <c r="I23" s="33">
        <f>'Cashflow'!C23/'Balance Sheet '!E23</f>
        <v>0.021016061190008</v>
      </c>
      <c r="J23" s="15">
        <f>(G23+F23-C23)/C23</f>
        <v>-0.940494348625288</v>
      </c>
      <c r="K23" s="15">
        <f>AVERAGE(J20:J23)</f>
        <v>-0.8755067426326411</v>
      </c>
      <c r="L23" s="15"/>
    </row>
    <row r="24" ht="20.05" customHeight="1">
      <c r="B24" s="34">
        <v>2021</v>
      </c>
      <c r="C24" s="16">
        <f>3966+807.2</f>
        <v>4773.2</v>
      </c>
      <c r="D24" s="13"/>
      <c r="E24" s="13">
        <v>1255.8</v>
      </c>
      <c r="F24" s="17">
        <f>44.8+108.2+66.3</f>
        <v>219.3</v>
      </c>
      <c r="G24" s="17">
        <v>995.8</v>
      </c>
      <c r="H24" s="15">
        <f>'Cashflow'!C24/'Cashflow'!C23-1</f>
        <v>-0.0503840939900587</v>
      </c>
      <c r="I24" s="33">
        <f>'Cashflow'!C24/'Balance Sheet '!E24</f>
        <v>0.0201675591639316</v>
      </c>
      <c r="J24" s="15">
        <f>(G24+F24-C24)/C24</f>
        <v>-0.7454328333193661</v>
      </c>
      <c r="K24" s="15">
        <f>AVERAGE(J21:J24)</f>
        <v>-0.868488337403866</v>
      </c>
      <c r="L24" s="15"/>
    </row>
    <row r="25" ht="20.05" customHeight="1">
      <c r="B25" s="32"/>
      <c r="C25" s="16">
        <f>7960.8+1464.2-C24</f>
        <v>4651.8</v>
      </c>
      <c r="D25" s="13"/>
      <c r="E25" s="13">
        <f>2155-E24</f>
        <v>899.2</v>
      </c>
      <c r="F25" s="13">
        <f>132+215.5+92-F24</f>
        <v>220.2</v>
      </c>
      <c r="G25" s="17">
        <f>2131.8-G24</f>
        <v>1136</v>
      </c>
      <c r="H25" s="15">
        <f>'Cashflow'!C25/'Cashflow'!C24-1</f>
        <v>0.0258347212308668</v>
      </c>
      <c r="I25" s="33">
        <f>'Cashflow'!C25/'Balance Sheet '!E25</f>
        <v>0.0194257977627987</v>
      </c>
      <c r="J25" s="15">
        <f>(G25+F25-C25)/C25</f>
        <v>-0.708456941399028</v>
      </c>
      <c r="K25" s="15">
        <f>AVERAGE(J22:J25)</f>
        <v>-0.840784452012669</v>
      </c>
      <c r="L25" s="15"/>
    </row>
    <row r="26" ht="20.05" customHeight="1">
      <c r="B26" s="32"/>
      <c r="C26" s="16">
        <f>3985.3+819.1</f>
        <v>4804.4</v>
      </c>
      <c r="D26" s="35"/>
      <c r="E26" s="17">
        <v>948</v>
      </c>
      <c r="F26" s="13">
        <f>321.8+135.1+200.6-SUM(F24:F25)</f>
        <v>218</v>
      </c>
      <c r="G26" s="17">
        <v>1017.4</v>
      </c>
      <c r="H26" s="15">
        <f>'Cashflow'!C26/'Cashflow'!C25-1</f>
        <v>-0.0306925143508765</v>
      </c>
      <c r="I26" s="33">
        <f>'Cashflow'!C26/'Balance Sheet '!E26</f>
        <v>0.0190074914174265</v>
      </c>
      <c r="J26" s="15">
        <f>(G26+F26-C26)/C26</f>
        <v>-0.742860711014903</v>
      </c>
      <c r="K26" s="15">
        <f>AVERAGE(J23:J26)</f>
        <v>-0.784311208589646</v>
      </c>
      <c r="L26" s="15"/>
    </row>
    <row r="27" ht="20.05" customHeight="1">
      <c r="B27" s="32"/>
      <c r="C27" s="16">
        <f>15751.6+3111.4-SUM(C24:C26)</f>
        <v>4633.6</v>
      </c>
      <c r="D27" s="35"/>
      <c r="E27" s="13">
        <f>4169.9-SUM(E24:E26)</f>
        <v>1066.9</v>
      </c>
      <c r="F27" s="13">
        <f>427.2+181.1+273-SUM(F24:F26)</f>
        <v>223.8</v>
      </c>
      <c r="G27" s="17">
        <f>4098.6-SUM(G24:G26)</f>
        <v>949.4</v>
      </c>
      <c r="H27" s="15">
        <f>'Cashflow'!C27/'Cashflow'!C26-1</f>
        <v>0.0865187134852745</v>
      </c>
      <c r="I27" s="33">
        <f>'Cashflow'!C27/'Balance Sheet '!E27</f>
        <v>0.0206580708265882</v>
      </c>
      <c r="J27" s="15">
        <f>(G27+F27-C27)/C27</f>
        <v>-0.7468059392265191</v>
      </c>
      <c r="K27" s="15">
        <f>AVERAGE(J24:J27)</f>
        <v>-0.735889106239954</v>
      </c>
      <c r="L27" s="15"/>
    </row>
    <row r="28" ht="20.05" customHeight="1">
      <c r="B28" s="34">
        <v>2022</v>
      </c>
      <c r="C28" s="16">
        <f>3753.7+830.2</f>
        <v>4583.9</v>
      </c>
      <c r="D28" s="23">
        <v>4700</v>
      </c>
      <c r="E28" s="13">
        <v>1139</v>
      </c>
      <c r="F28" s="13">
        <f>114.1+132.3</f>
        <v>246.4</v>
      </c>
      <c r="G28" s="17">
        <v>1208.9</v>
      </c>
      <c r="H28" s="15">
        <f>'Cashflow'!C28/'Cashflow'!C27-1</f>
        <v>-0.100110111947146</v>
      </c>
      <c r="I28" s="33">
        <f>'Cashflow'!C28/'Balance Sheet '!E28</f>
        <v>0.0181396794158013</v>
      </c>
      <c r="J28" s="15">
        <f>(G28+F28-C28)/C28</f>
        <v>-0.6825192521651871</v>
      </c>
      <c r="K28" s="15">
        <f>AVERAGE(J25:J28)</f>
        <v>-0.720160710951409</v>
      </c>
      <c r="L28" s="15">
        <f>K28</f>
        <v>-0.720160710951409</v>
      </c>
    </row>
    <row r="29" ht="20.05" customHeight="1">
      <c r="B29" s="32"/>
      <c r="C29" s="16"/>
      <c r="D29" s="13">
        <f>'Model'!C6</f>
        <v>4721.417</v>
      </c>
      <c r="E29" s="13"/>
      <c r="F29" s="13"/>
      <c r="G29" s="35"/>
      <c r="H29" s="15"/>
      <c r="I29" s="33"/>
      <c r="J29" s="35"/>
      <c r="K29" s="35"/>
      <c r="L29" s="15">
        <f>'Model'!C7</f>
        <v>-0.6825192521651871</v>
      </c>
    </row>
    <row r="30" ht="20.05" customHeight="1">
      <c r="B30" s="32"/>
      <c r="C30" s="16"/>
      <c r="D30" s="13">
        <f>'Model'!D6</f>
        <v>4910.27368</v>
      </c>
      <c r="E30" s="13"/>
      <c r="F30" s="13"/>
      <c r="G30" s="35"/>
      <c r="H30" s="11"/>
      <c r="I30" s="33"/>
      <c r="J30" s="35"/>
      <c r="K30" s="35"/>
      <c r="L30" s="35"/>
    </row>
    <row r="31" ht="20.05" customHeight="1">
      <c r="B31" s="32"/>
      <c r="C31" s="16"/>
      <c r="D31" s="13">
        <f>'Model'!E6</f>
        <v>5155.787364</v>
      </c>
      <c r="E31" s="13">
        <f>SUM(C28)</f>
        <v>4583.9</v>
      </c>
      <c r="F31" s="13">
        <f>SUM(D24:D28)</f>
        <v>4700</v>
      </c>
      <c r="G31" s="35"/>
      <c r="H31" s="11"/>
      <c r="I31" s="33"/>
      <c r="J31" s="11"/>
      <c r="K31" s="11"/>
      <c r="L31" s="11"/>
    </row>
    <row r="32" ht="20.05" customHeight="1">
      <c r="B32" s="34">
        <v>2023</v>
      </c>
      <c r="C32" s="16"/>
      <c r="D32" s="13">
        <f>'Model'!F6</f>
        <v>5104.22949036</v>
      </c>
      <c r="E32" s="13"/>
      <c r="F32" s="13"/>
      <c r="G32" s="35"/>
      <c r="H32" s="11"/>
      <c r="I32" s="33"/>
      <c r="J32" s="11"/>
      <c r="K32" s="11"/>
      <c r="L32" s="11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16406" style="36" customWidth="1"/>
    <col min="2" max="2" width="9.13281" style="36" customWidth="1"/>
    <col min="3" max="15" width="10.4766" style="36" customWidth="1"/>
    <col min="16" max="16384" width="16.3516" style="36" customWidth="1"/>
  </cols>
  <sheetData>
    <row r="1" ht="16.6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4.25" customHeight="1">
      <c r="B3" t="s" s="5">
        <v>1</v>
      </c>
      <c r="C3" t="s" s="5">
        <v>46</v>
      </c>
      <c r="D3" t="s" s="5">
        <v>47</v>
      </c>
      <c r="E3" t="s" s="5">
        <v>48</v>
      </c>
      <c r="F3" t="s" s="5">
        <v>49</v>
      </c>
      <c r="G3" t="s" s="5">
        <v>25</v>
      </c>
      <c r="H3" t="s" s="5">
        <v>26</v>
      </c>
      <c r="I3" t="s" s="5">
        <v>10</v>
      </c>
      <c r="J3" t="s" s="5">
        <v>50</v>
      </c>
      <c r="K3" t="s" s="5">
        <v>3</v>
      </c>
      <c r="L3" t="s" s="5">
        <v>33</v>
      </c>
      <c r="M3" t="s" s="5">
        <v>51</v>
      </c>
      <c r="N3" t="s" s="5">
        <v>33</v>
      </c>
      <c r="O3" s="37"/>
    </row>
    <row r="4" ht="20.25" customHeight="1">
      <c r="B4" s="26">
        <v>2016</v>
      </c>
      <c r="C4" s="27">
        <v>5837.7</v>
      </c>
      <c r="D4" s="38"/>
      <c r="E4" s="38">
        <v>-1067.5</v>
      </c>
      <c r="F4" s="38">
        <v>-2404.3</v>
      </c>
      <c r="G4" s="38"/>
      <c r="H4" s="38"/>
      <c r="I4" s="38">
        <v>-1908.7</v>
      </c>
      <c r="J4" s="38"/>
      <c r="K4" s="38"/>
      <c r="L4" s="38"/>
      <c r="M4" s="38">
        <f>-I4</f>
        <v>1908.7</v>
      </c>
      <c r="N4" s="38"/>
      <c r="O4" s="38">
        <v>1</v>
      </c>
    </row>
    <row r="5" ht="20.05" customHeight="1">
      <c r="B5" s="32"/>
      <c r="C5" s="16">
        <v>5694</v>
      </c>
      <c r="D5" s="17"/>
      <c r="E5" s="17">
        <v>3466.89</v>
      </c>
      <c r="F5" s="17">
        <v>-444.7</v>
      </c>
      <c r="G5" s="17"/>
      <c r="H5" s="17"/>
      <c r="I5" s="17">
        <v>-4.2</v>
      </c>
      <c r="J5" s="17"/>
      <c r="K5" s="17"/>
      <c r="L5" s="17"/>
      <c r="M5" s="17">
        <f>-I5+M4</f>
        <v>1912.9</v>
      </c>
      <c r="N5" s="17"/>
      <c r="O5" s="17">
        <f>1+O4</f>
        <v>2</v>
      </c>
    </row>
    <row r="6" ht="20.05" customHeight="1">
      <c r="B6" s="32"/>
      <c r="C6" s="16">
        <v>5764.55</v>
      </c>
      <c r="D6" s="17"/>
      <c r="E6" s="17">
        <v>611.01</v>
      </c>
      <c r="F6" s="17">
        <v>-1197.8</v>
      </c>
      <c r="G6" s="17"/>
      <c r="H6" s="17"/>
      <c r="I6" s="17">
        <v>-819.6</v>
      </c>
      <c r="J6" s="17"/>
      <c r="K6" s="17"/>
      <c r="L6" s="17"/>
      <c r="M6" s="17">
        <f>-I6+M5</f>
        <v>2732.5</v>
      </c>
      <c r="N6" s="17"/>
      <c r="O6" s="17">
        <f>1+O5</f>
        <v>3</v>
      </c>
    </row>
    <row r="7" ht="20.05" customHeight="1">
      <c r="B7" s="32"/>
      <c r="C7" s="16">
        <v>6001.55</v>
      </c>
      <c r="D7" s="17"/>
      <c r="E7" s="17">
        <v>280.9</v>
      </c>
      <c r="F7" s="17">
        <v>-24.6</v>
      </c>
      <c r="G7" s="17"/>
      <c r="H7" s="17"/>
      <c r="I7" s="17">
        <v>-1001.1</v>
      </c>
      <c r="J7" s="17"/>
      <c r="K7" s="17"/>
      <c r="L7" s="17"/>
      <c r="M7" s="17">
        <f>-I7+M6</f>
        <v>3733.6</v>
      </c>
      <c r="N7" s="17"/>
      <c r="O7" s="17">
        <f>1+O6</f>
        <v>4</v>
      </c>
    </row>
    <row r="8" ht="20.05" customHeight="1">
      <c r="B8" s="34">
        <v>2017</v>
      </c>
      <c r="C8" s="16">
        <v>5545.4</v>
      </c>
      <c r="D8" s="17">
        <v>2142.1</v>
      </c>
      <c r="E8" s="17">
        <v>876</v>
      </c>
      <c r="F8" s="17">
        <v>687</v>
      </c>
      <c r="G8" s="17"/>
      <c r="H8" s="17"/>
      <c r="I8" s="17">
        <v>-1093.4</v>
      </c>
      <c r="J8" s="17">
        <f>E8+F8</f>
        <v>1563</v>
      </c>
      <c r="K8" s="17">
        <f>AVERAGE(J5:J8)</f>
        <v>1563</v>
      </c>
      <c r="L8" s="17"/>
      <c r="M8" s="17">
        <f>-I8+M7</f>
        <v>4827</v>
      </c>
      <c r="N8" s="17"/>
      <c r="O8" s="17">
        <f>1+O7</f>
        <v>5</v>
      </c>
    </row>
    <row r="9" ht="20.05" customHeight="1">
      <c r="B9" s="32"/>
      <c r="C9" s="16">
        <v>5543.8</v>
      </c>
      <c r="D9" s="17">
        <v>3030.6</v>
      </c>
      <c r="E9" s="17">
        <v>-294.11</v>
      </c>
      <c r="F9" s="17">
        <v>2183</v>
      </c>
      <c r="G9" s="17"/>
      <c r="H9" s="17"/>
      <c r="I9" s="17">
        <v>-683.1</v>
      </c>
      <c r="J9" s="17">
        <f>E9+F9</f>
        <v>1888.89</v>
      </c>
      <c r="K9" s="17">
        <f>AVERAGE(J6:J9)</f>
        <v>1725.945</v>
      </c>
      <c r="L9" s="17"/>
      <c r="M9" s="17">
        <f>-I9+M8</f>
        <v>5510.1</v>
      </c>
      <c r="N9" s="17"/>
      <c r="O9" s="17">
        <f>1+O8</f>
        <v>6</v>
      </c>
    </row>
    <row r="10" ht="20.05" customHeight="1">
      <c r="B10" s="32"/>
      <c r="C10" s="16">
        <v>5637.8</v>
      </c>
      <c r="D10" s="17">
        <v>1530.7</v>
      </c>
      <c r="E10" s="17">
        <v>13045.01</v>
      </c>
      <c r="F10" s="17">
        <v>-5252.4</v>
      </c>
      <c r="G10" s="17"/>
      <c r="H10" s="17"/>
      <c r="I10" s="17">
        <v>-426.9</v>
      </c>
      <c r="J10" s="17">
        <f>E10+F10</f>
        <v>7792.61</v>
      </c>
      <c r="K10" s="17">
        <f>AVERAGE(J7:J10)</f>
        <v>3748.166666666670</v>
      </c>
      <c r="L10" s="17"/>
      <c r="M10" s="17">
        <f>-I10+M9</f>
        <v>5937</v>
      </c>
      <c r="N10" s="17"/>
      <c r="O10" s="17">
        <f>1+O9</f>
        <v>7</v>
      </c>
    </row>
    <row r="11" ht="20.05" customHeight="1">
      <c r="B11" s="32"/>
      <c r="C11" s="16">
        <v>5747.6</v>
      </c>
      <c r="D11" s="17">
        <v>3024.5</v>
      </c>
      <c r="E11" s="17">
        <v>6502.4</v>
      </c>
      <c r="F11" s="17">
        <v>-6563.7</v>
      </c>
      <c r="G11" s="17"/>
      <c r="H11" s="17"/>
      <c r="I11" s="17">
        <v>2115.6</v>
      </c>
      <c r="J11" s="17">
        <f>E11+F11</f>
        <v>-61.3</v>
      </c>
      <c r="K11" s="17">
        <f>AVERAGE(J8:J11)</f>
        <v>2795.8</v>
      </c>
      <c r="L11" s="17"/>
      <c r="M11" s="17">
        <f>-I11+M10</f>
        <v>3821.4</v>
      </c>
      <c r="N11" s="17"/>
      <c r="O11" s="17">
        <f>1+O10</f>
        <v>8</v>
      </c>
    </row>
    <row r="12" ht="20.05" customHeight="1">
      <c r="B12" s="34">
        <v>2018</v>
      </c>
      <c r="C12" s="16">
        <v>5391.4</v>
      </c>
      <c r="D12" s="17">
        <v>1924.1</v>
      </c>
      <c r="E12" s="17">
        <v>-1463.6</v>
      </c>
      <c r="F12" s="17">
        <v>-4851.7</v>
      </c>
      <c r="G12" s="17"/>
      <c r="H12" s="17"/>
      <c r="I12" s="17">
        <v>-3093.8</v>
      </c>
      <c r="J12" s="17">
        <f>E12+F12</f>
        <v>-6315.3</v>
      </c>
      <c r="K12" s="17">
        <f>AVERAGE(J9:J12)</f>
        <v>826.225</v>
      </c>
      <c r="L12" s="17"/>
      <c r="M12" s="17">
        <f>-I12+M11</f>
        <v>6915.2</v>
      </c>
      <c r="N12" s="17"/>
      <c r="O12" s="17">
        <f>1+O11</f>
        <v>9</v>
      </c>
    </row>
    <row r="13" ht="20.05" customHeight="1">
      <c r="B13" s="32"/>
      <c r="C13" s="16">
        <v>5450</v>
      </c>
      <c r="D13" s="17">
        <v>2771.3</v>
      </c>
      <c r="E13" s="17">
        <v>-3485.7</v>
      </c>
      <c r="F13" s="17">
        <v>1023.9</v>
      </c>
      <c r="G13" s="17"/>
      <c r="H13" s="17"/>
      <c r="I13" s="17">
        <v>2117.8</v>
      </c>
      <c r="J13" s="17">
        <f>E13+F13</f>
        <v>-2461.8</v>
      </c>
      <c r="K13" s="17">
        <f>AVERAGE(J10:J13)</f>
        <v>-261.4475</v>
      </c>
      <c r="L13" s="17"/>
      <c r="M13" s="17">
        <f>-I13+M12</f>
        <v>4797.4</v>
      </c>
      <c r="N13" s="17"/>
      <c r="O13" s="17">
        <f>1+O12</f>
        <v>10</v>
      </c>
    </row>
    <row r="14" ht="20.05" customHeight="1">
      <c r="B14" s="32"/>
      <c r="C14" s="16">
        <v>5541.7</v>
      </c>
      <c r="D14" s="17">
        <v>1075.7</v>
      </c>
      <c r="E14" s="17">
        <v>3946.4</v>
      </c>
      <c r="F14" s="17">
        <v>398.3</v>
      </c>
      <c r="G14" s="17"/>
      <c r="H14" s="17"/>
      <c r="I14" s="17">
        <v>-4371</v>
      </c>
      <c r="J14" s="17">
        <f>E14+F14</f>
        <v>4344.7</v>
      </c>
      <c r="K14" s="17">
        <f>AVERAGE(J11:J14)</f>
        <v>-1123.425</v>
      </c>
      <c r="L14" s="17"/>
      <c r="M14" s="17">
        <f>-I14+M13</f>
        <v>9168.4</v>
      </c>
      <c r="N14" s="17"/>
      <c r="O14" s="17">
        <f>1+O13</f>
        <v>11</v>
      </c>
    </row>
    <row r="15" ht="20.05" customHeight="1">
      <c r="B15" s="32"/>
      <c r="C15" s="16">
        <v>5830.8</v>
      </c>
      <c r="D15" s="17">
        <v>175.8</v>
      </c>
      <c r="E15" s="17">
        <v>253.4</v>
      </c>
      <c r="F15" s="17">
        <v>1820.7</v>
      </c>
      <c r="G15" s="17"/>
      <c r="H15" s="17"/>
      <c r="I15" s="17">
        <v>201</v>
      </c>
      <c r="J15" s="17">
        <f>E15+F15</f>
        <v>2074.1</v>
      </c>
      <c r="K15" s="17">
        <f>AVERAGE(J12:J15)</f>
        <v>-589.575</v>
      </c>
      <c r="L15" s="17"/>
      <c r="M15" s="17">
        <f>-I15+M14</f>
        <v>8967.4</v>
      </c>
      <c r="N15" s="17"/>
      <c r="O15" s="17">
        <f>1+O14</f>
        <v>12</v>
      </c>
    </row>
    <row r="16" ht="20.05" customHeight="1">
      <c r="B16" s="34">
        <v>2019</v>
      </c>
      <c r="C16" s="16">
        <v>5693.7</v>
      </c>
      <c r="D16" s="17">
        <v>2180.5</v>
      </c>
      <c r="E16" s="17">
        <v>-1192.3</v>
      </c>
      <c r="F16" s="17">
        <v>-1992.6</v>
      </c>
      <c r="G16" s="17"/>
      <c r="H16" s="17"/>
      <c r="I16" s="17">
        <v>-2192</v>
      </c>
      <c r="J16" s="17">
        <f>E16+F16</f>
        <v>-3184.9</v>
      </c>
      <c r="K16" s="17">
        <f>AVERAGE(J13:J16)</f>
        <v>193.025</v>
      </c>
      <c r="L16" s="17"/>
      <c r="M16" s="17">
        <f>-I16+M15</f>
        <v>11159.4</v>
      </c>
      <c r="N16" s="17"/>
      <c r="O16" s="17">
        <f>1+O15</f>
        <v>13</v>
      </c>
    </row>
    <row r="17" ht="20.05" customHeight="1">
      <c r="B17" s="32"/>
      <c r="C17" s="16">
        <v>6299.3</v>
      </c>
      <c r="D17" s="17">
        <v>4961.5</v>
      </c>
      <c r="E17" s="17">
        <v>1298.2</v>
      </c>
      <c r="F17" s="17">
        <v>4545.2</v>
      </c>
      <c r="G17" s="17"/>
      <c r="H17" s="17"/>
      <c r="I17" s="17">
        <v>4669.1</v>
      </c>
      <c r="J17" s="17">
        <f>E17+F17</f>
        <v>5843.4</v>
      </c>
      <c r="K17" s="17">
        <f>AVERAGE(J14:J17)</f>
        <v>2269.325</v>
      </c>
      <c r="L17" s="17"/>
      <c r="M17" s="17">
        <f>-I17+M16</f>
        <v>6490.3</v>
      </c>
      <c r="N17" s="17"/>
      <c r="O17" s="17">
        <f>1+O16</f>
        <v>14</v>
      </c>
    </row>
    <row r="18" ht="20.05" customHeight="1">
      <c r="B18" s="32"/>
      <c r="C18" s="16">
        <v>6074.5</v>
      </c>
      <c r="D18" s="17">
        <v>81.90000000000001</v>
      </c>
      <c r="E18" s="17">
        <v>-6939</v>
      </c>
      <c r="F18" s="17">
        <v>-2251.6</v>
      </c>
      <c r="G18" s="17"/>
      <c r="H18" s="17"/>
      <c r="I18" s="17">
        <v>-1803.3</v>
      </c>
      <c r="J18" s="17">
        <f>E18+F18</f>
        <v>-9190.6</v>
      </c>
      <c r="K18" s="17">
        <f>AVERAGE(J15:J18)</f>
        <v>-1114.5</v>
      </c>
      <c r="L18" s="17"/>
      <c r="M18" s="17">
        <f>-I18+M17</f>
        <v>8293.6</v>
      </c>
      <c r="N18" s="17"/>
      <c r="O18" s="17">
        <f>1+O17</f>
        <v>15</v>
      </c>
    </row>
    <row r="19" ht="20.05" customHeight="1">
      <c r="B19" s="32"/>
      <c r="C19" s="16">
        <v>5836.3</v>
      </c>
      <c r="D19" s="17">
        <v>4283.9</v>
      </c>
      <c r="E19" s="17">
        <v>8904</v>
      </c>
      <c r="F19" s="17">
        <v>1393.8</v>
      </c>
      <c r="G19" s="17"/>
      <c r="H19" s="17"/>
      <c r="I19" s="17">
        <v>725.2</v>
      </c>
      <c r="J19" s="17">
        <f>E19+F19</f>
        <v>10297.8</v>
      </c>
      <c r="K19" s="17">
        <f>AVERAGE(J16:J19)</f>
        <v>941.425</v>
      </c>
      <c r="L19" s="17"/>
      <c r="M19" s="17">
        <f>-I19+M18</f>
        <v>7568.4</v>
      </c>
      <c r="N19" s="17"/>
      <c r="O19" s="17">
        <f>1+O18</f>
        <v>16</v>
      </c>
    </row>
    <row r="20" ht="20.05" customHeight="1">
      <c r="B20" s="34">
        <v>2020</v>
      </c>
      <c r="C20" s="16">
        <v>5717.4</v>
      </c>
      <c r="D20" s="17">
        <v>-638.7</v>
      </c>
      <c r="E20" s="17">
        <v>-1843.4</v>
      </c>
      <c r="F20" s="17">
        <v>-3201.3</v>
      </c>
      <c r="G20" s="17"/>
      <c r="H20" s="17"/>
      <c r="I20" s="17">
        <v>-522.6</v>
      </c>
      <c r="J20" s="17">
        <f>E20+F20</f>
        <v>-5044.7</v>
      </c>
      <c r="K20" s="17">
        <f>AVERAGE(J17:J20)</f>
        <v>476.475</v>
      </c>
      <c r="L20" s="17"/>
      <c r="M20" s="17">
        <f>-I20+M19</f>
        <v>8091</v>
      </c>
      <c r="N20" s="17"/>
      <c r="O20" s="17">
        <f>1+O19</f>
        <v>17</v>
      </c>
    </row>
    <row r="21" ht="20.05" customHeight="1">
      <c r="B21" s="32"/>
      <c r="C21" s="16">
        <v>5201</v>
      </c>
      <c r="D21" s="17">
        <v>5854.4</v>
      </c>
      <c r="E21" s="17">
        <v>7362.3</v>
      </c>
      <c r="F21" s="17">
        <v>-8573.799999999999</v>
      </c>
      <c r="G21" s="17"/>
      <c r="H21" s="17"/>
      <c r="I21" s="17">
        <v>-1744.7</v>
      </c>
      <c r="J21" s="17">
        <f>E21+F21</f>
        <v>-1211.5</v>
      </c>
      <c r="K21" s="17">
        <f>AVERAGE(J18:J21)</f>
        <v>-1287.25</v>
      </c>
      <c r="L21" s="17"/>
      <c r="M21" s="17">
        <f>-I21+M20</f>
        <v>9835.700000000001</v>
      </c>
      <c r="N21" s="17"/>
      <c r="O21" s="17">
        <f>1+O20</f>
        <v>18</v>
      </c>
    </row>
    <row r="22" ht="20.05" customHeight="1">
      <c r="B22" s="32"/>
      <c r="C22" s="16">
        <v>4943.8</v>
      </c>
      <c r="D22" s="17">
        <v>-292.4</v>
      </c>
      <c r="E22" s="17">
        <v>16314.8</v>
      </c>
      <c r="F22" s="17">
        <v>-10150.7</v>
      </c>
      <c r="G22" s="17"/>
      <c r="H22" s="17"/>
      <c r="I22" s="17">
        <v>-1290.4</v>
      </c>
      <c r="J22" s="17">
        <f>E22+F22</f>
        <v>6164.1</v>
      </c>
      <c r="K22" s="17">
        <f>AVERAGE(J19:J22)</f>
        <v>2551.425</v>
      </c>
      <c r="L22" s="17"/>
      <c r="M22" s="17">
        <f>-I22+M21</f>
        <v>11126.1</v>
      </c>
      <c r="N22" s="17"/>
      <c r="O22" s="17">
        <f>1+O21</f>
        <v>19</v>
      </c>
    </row>
    <row r="23" ht="20.05" customHeight="1">
      <c r="B23" s="32"/>
      <c r="C23" s="16">
        <v>5311.2</v>
      </c>
      <c r="D23" s="17">
        <v>2988.1</v>
      </c>
      <c r="E23" s="17">
        <v>6791.2</v>
      </c>
      <c r="F23" s="17">
        <v>-4837.2</v>
      </c>
      <c r="G23" s="17"/>
      <c r="H23" s="17"/>
      <c r="I23" s="17">
        <v>-3025.9</v>
      </c>
      <c r="J23" s="17">
        <f>E23+F23</f>
        <v>1954</v>
      </c>
      <c r="K23" s="17">
        <f>AVERAGE(J20:J23)</f>
        <v>465.475</v>
      </c>
      <c r="L23" s="17"/>
      <c r="M23" s="17">
        <f>-I23+M22</f>
        <v>14152</v>
      </c>
      <c r="N23" s="17"/>
      <c r="O23" s="17">
        <f>1+O22</f>
        <v>20</v>
      </c>
    </row>
    <row r="24" ht="20.05" customHeight="1">
      <c r="B24" s="34">
        <v>2021</v>
      </c>
      <c r="C24" s="16">
        <v>5043.6</v>
      </c>
      <c r="D24" s="17">
        <v>2296.4</v>
      </c>
      <c r="E24" s="17">
        <v>-9435.5</v>
      </c>
      <c r="F24" s="17">
        <v>3650.3</v>
      </c>
      <c r="G24" s="17">
        <v>23</v>
      </c>
      <c r="H24" s="17"/>
      <c r="I24" s="17">
        <f>23.4</f>
        <v>23.4</v>
      </c>
      <c r="J24" s="17">
        <f>E24+F24</f>
        <v>-5785.2</v>
      </c>
      <c r="K24" s="17">
        <f>AVERAGE(J21:J24)</f>
        <v>280.35</v>
      </c>
      <c r="L24" s="17"/>
      <c r="M24" s="17">
        <f>-I24+M23</f>
        <v>14128.6</v>
      </c>
      <c r="N24" s="17"/>
      <c r="O24" s="17">
        <f>1+O23</f>
        <v>21</v>
      </c>
    </row>
    <row r="25" ht="20.05" customHeight="1">
      <c r="B25" s="32"/>
      <c r="C25" s="16">
        <f>10217.5-C24</f>
        <v>5173.9</v>
      </c>
      <c r="D25" s="17">
        <v>5626.6</v>
      </c>
      <c r="E25" s="17">
        <f>4120.3-E24</f>
        <v>13555.8</v>
      </c>
      <c r="F25" s="17">
        <f>-8467.2-F24</f>
        <v>-12117.5</v>
      </c>
      <c r="G25" s="17">
        <f>-588+743-343-G24</f>
        <v>-211</v>
      </c>
      <c r="H25" s="17">
        <f>-1099-H24</f>
        <v>-1099</v>
      </c>
      <c r="I25" s="17">
        <f>-1286.8-I24</f>
        <v>-1310.2</v>
      </c>
      <c r="J25" s="17">
        <f>E25+F25</f>
        <v>1438.3</v>
      </c>
      <c r="K25" s="17">
        <f>AVERAGE(J22:J25)</f>
        <v>942.8</v>
      </c>
      <c r="L25" s="17"/>
      <c r="M25" s="17">
        <f>-I25+M24</f>
        <v>15438.8</v>
      </c>
      <c r="N25" s="17"/>
      <c r="O25" s="17">
        <f>1+O24</f>
        <v>22</v>
      </c>
    </row>
    <row r="26" ht="20.05" customHeight="1">
      <c r="B26" s="32"/>
      <c r="C26" s="16">
        <f>15232.6-SUM(C24:C25)</f>
        <v>5015.1</v>
      </c>
      <c r="D26" s="17">
        <f>6571.2-SUM(D24:D25)</f>
        <v>-1351.8</v>
      </c>
      <c r="E26" s="17">
        <f>14487.2-SUM(E24:E25)</f>
        <v>10366.9</v>
      </c>
      <c r="F26" s="17">
        <f>-9723.1-SUM(F24:F25)</f>
        <v>-1255.9</v>
      </c>
      <c r="G26" s="17">
        <f>-855+989-475-G25-G24</f>
        <v>-153</v>
      </c>
      <c r="H26" s="17">
        <f>-1099-H25-H24</f>
        <v>0</v>
      </c>
      <c r="I26" s="17">
        <f>-1439.7-SUM(I24:I25)</f>
        <v>-152.9</v>
      </c>
      <c r="J26" s="17">
        <f>E26+F26</f>
        <v>9111</v>
      </c>
      <c r="K26" s="17">
        <f>AVERAGE(J23:J26)</f>
        <v>1679.525</v>
      </c>
      <c r="L26" s="17"/>
      <c r="M26" s="17">
        <f>-I26+M25</f>
        <v>15591.7</v>
      </c>
      <c r="N26" s="17"/>
      <c r="O26" s="17">
        <f>1+O25</f>
        <v>23</v>
      </c>
    </row>
    <row r="27" ht="20.05" customHeight="1">
      <c r="B27" s="32"/>
      <c r="C27" s="16">
        <f>20681.6-SUM(C24:C26)</f>
        <v>5449</v>
      </c>
      <c r="D27" s="17">
        <f>9906.8-SUM(D24:D26)</f>
        <v>3335.6</v>
      </c>
      <c r="E27" s="17">
        <f>29609.5-SUM(E24:E26)</f>
        <v>15122.3</v>
      </c>
      <c r="F27" s="17">
        <f>-9043.2-SUM(F24:F26)</f>
        <v>679.9</v>
      </c>
      <c r="G27" s="17">
        <f>-1715+1708-669-G26-G25-G24</f>
        <v>-335</v>
      </c>
      <c r="H27" s="17">
        <f>-1099-H26-H25-H24</f>
        <v>0</v>
      </c>
      <c r="I27" s="17">
        <f>-1773.3-SUM(I24:I26)</f>
        <v>-333.6</v>
      </c>
      <c r="J27" s="17">
        <f>E27+F27</f>
        <v>15802.2</v>
      </c>
      <c r="K27" s="17">
        <f>AVERAGE(J24:J27)</f>
        <v>5141.575</v>
      </c>
      <c r="L27" s="17"/>
      <c r="M27" s="17">
        <f>-I27+M26</f>
        <v>15925.3</v>
      </c>
      <c r="N27" s="17"/>
      <c r="O27" s="17">
        <f>1+O26</f>
        <v>24</v>
      </c>
    </row>
    <row r="28" ht="20.05" customHeight="1">
      <c r="B28" s="34">
        <v>2022</v>
      </c>
      <c r="C28" s="16">
        <v>4903.5</v>
      </c>
      <c r="D28" s="17">
        <v>2192.5</v>
      </c>
      <c r="E28" s="17">
        <v>-9479.6</v>
      </c>
      <c r="F28" s="17">
        <v>-1181.7</v>
      </c>
      <c r="G28" s="17">
        <f>I28-H28</f>
        <v>751.3</v>
      </c>
      <c r="H28" s="17">
        <v>0</v>
      </c>
      <c r="I28" s="17">
        <v>751.3</v>
      </c>
      <c r="J28" s="17">
        <f>E28+F28</f>
        <v>-10661.3</v>
      </c>
      <c r="K28" s="17">
        <f>AVERAGE(J25:J28)</f>
        <v>3922.55</v>
      </c>
      <c r="L28" s="17">
        <f>K28</f>
        <v>3922.55</v>
      </c>
      <c r="M28" s="17">
        <f>-I28+M27</f>
        <v>15174</v>
      </c>
      <c r="N28" s="17">
        <f>M28</f>
        <v>15174</v>
      </c>
      <c r="O28" s="17">
        <f>1+O27</f>
        <v>25</v>
      </c>
    </row>
    <row r="29" ht="20.05" customHeight="1">
      <c r="B29" s="32"/>
      <c r="C29" s="16"/>
      <c r="D29" s="17"/>
      <c r="E29" s="17"/>
      <c r="F29" s="17"/>
      <c r="G29" s="17"/>
      <c r="H29" s="17"/>
      <c r="I29" s="17"/>
      <c r="J29" s="17"/>
      <c r="K29" s="35"/>
      <c r="L29" s="17">
        <f>SUM('Model'!C9:F10)/4</f>
        <v>1327.90854593</v>
      </c>
      <c r="M29" s="35"/>
      <c r="N29" s="17">
        <f>'Model'!F32</f>
        <v>15492.610255116</v>
      </c>
      <c r="O29" s="17"/>
    </row>
    <row r="30" ht="20.05" customHeight="1">
      <c r="B30" s="32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ht="20.05" customHeight="1">
      <c r="B31" s="32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ht="20.05" customHeight="1">
      <c r="B32" s="34">
        <v>2023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17188" style="39" customWidth="1"/>
    <col min="2" max="5" width="11.3906" style="39" customWidth="1"/>
    <col min="6" max="12" width="12.5469" style="39" customWidth="1"/>
    <col min="13" max="16384" width="16.3516" style="39" customWidth="1"/>
  </cols>
  <sheetData>
    <row r="1" ht="16.3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5">
        <v>1</v>
      </c>
      <c r="C3" t="s" s="5">
        <v>52</v>
      </c>
      <c r="D3" t="s" s="5">
        <v>53</v>
      </c>
      <c r="E3" t="s" s="5">
        <v>23</v>
      </c>
      <c r="F3" t="s" s="5">
        <v>54</v>
      </c>
      <c r="G3" t="s" s="5">
        <v>25</v>
      </c>
      <c r="H3" t="s" s="5">
        <v>26</v>
      </c>
      <c r="I3" t="s" s="5">
        <v>27</v>
      </c>
      <c r="J3" t="s" s="5">
        <v>55</v>
      </c>
      <c r="K3" t="s" s="5">
        <v>56</v>
      </c>
      <c r="L3" t="s" s="5">
        <v>57</v>
      </c>
    </row>
    <row r="4" ht="21.1" customHeight="1">
      <c r="B4" s="26">
        <v>2016</v>
      </c>
      <c r="C4" s="27">
        <v>23322.1</v>
      </c>
      <c r="D4" s="38">
        <v>231666</v>
      </c>
      <c r="E4" s="38">
        <f>D4-C4</f>
        <v>208343.9</v>
      </c>
      <c r="F4" s="38">
        <f>439+136+1+2811+24+391+7327+36+9</f>
        <v>11174</v>
      </c>
      <c r="G4" s="38">
        <v>199219</v>
      </c>
      <c r="H4" s="38">
        <v>32447</v>
      </c>
      <c r="I4" s="38">
        <f>G4+H4-C4-E4</f>
        <v>0</v>
      </c>
      <c r="J4" s="40"/>
      <c r="K4" s="41"/>
      <c r="L4" s="38">
        <f>C4-G4</f>
        <v>-175896.9</v>
      </c>
    </row>
    <row r="5" ht="20.9" customHeight="1">
      <c r="B5" s="32"/>
      <c r="C5" s="16">
        <v>26340.09</v>
      </c>
      <c r="D5" s="17">
        <v>239384</v>
      </c>
      <c r="E5" s="17">
        <f>D5-C5</f>
        <v>213043.91</v>
      </c>
      <c r="F5" s="17">
        <f>441+95+2911+1+23+410+7839+35+16</f>
        <v>11771</v>
      </c>
      <c r="G5" s="17">
        <v>206525</v>
      </c>
      <c r="H5" s="17">
        <v>32859</v>
      </c>
      <c r="I5" s="17">
        <f>G5+H5-C5-E5</f>
        <v>0</v>
      </c>
      <c r="J5" s="42">
        <f>E5/E4-1</f>
        <v>0.0225589038123986</v>
      </c>
      <c r="K5" s="42">
        <f>G5/G4-1</f>
        <v>0.0366732088806791</v>
      </c>
      <c r="L5" s="17">
        <f>C5-G5</f>
        <v>-180184.91</v>
      </c>
    </row>
    <row r="6" ht="20.9" customHeight="1">
      <c r="B6" s="32"/>
      <c r="C6" s="16">
        <v>24933.7</v>
      </c>
      <c r="D6" s="17">
        <v>237123</v>
      </c>
      <c r="E6" s="17">
        <f>D6-C6</f>
        <v>212189.3</v>
      </c>
      <c r="F6" s="17">
        <f>440+166+748+2302+1+29+436+7279+35+18</f>
        <v>11454</v>
      </c>
      <c r="G6" s="17">
        <v>203571</v>
      </c>
      <c r="H6" s="17">
        <v>33552</v>
      </c>
      <c r="I6" s="17">
        <f>G6+H6-C6-E6</f>
        <v>0</v>
      </c>
      <c r="J6" s="42">
        <f>E6/E5-1</f>
        <v>-0.00401142656459882</v>
      </c>
      <c r="K6" s="42">
        <f>G6/G5-1</f>
        <v>-0.014303353104951</v>
      </c>
      <c r="L6" s="17">
        <f>C6-G6</f>
        <v>-178637.3</v>
      </c>
    </row>
    <row r="7" ht="20.9" customHeight="1">
      <c r="B7" s="32"/>
      <c r="C7" s="16">
        <v>24188.9</v>
      </c>
      <c r="D7" s="17">
        <v>241572</v>
      </c>
      <c r="E7" s="17">
        <f>D7-C7</f>
        <v>217383.1</v>
      </c>
      <c r="F7" s="17">
        <f>439+198+803+2235+1+30+434+7664+36+12</f>
        <v>11852</v>
      </c>
      <c r="G7" s="17">
        <v>207364</v>
      </c>
      <c r="H7" s="17">
        <v>34208</v>
      </c>
      <c r="I7" s="17">
        <f>G7+H7-C7-E7</f>
        <v>0</v>
      </c>
      <c r="J7" s="42">
        <f>E7/E6-1</f>
        <v>0.0244772003112315</v>
      </c>
      <c r="K7" s="42">
        <f>G7/G6-1</f>
        <v>0.0186323199276911</v>
      </c>
      <c r="L7" s="17">
        <f>C7-G7</f>
        <v>-183175.1</v>
      </c>
    </row>
    <row r="8" ht="20.9" customHeight="1">
      <c r="B8" s="34">
        <v>2017</v>
      </c>
      <c r="C8" s="16">
        <v>24658.5</v>
      </c>
      <c r="D8" s="17">
        <v>236860</v>
      </c>
      <c r="E8" s="17">
        <f>D8-C8</f>
        <v>212201.5</v>
      </c>
      <c r="F8" s="17">
        <f>440+259+858+2283+1+31+438+7509+36+15</f>
        <v>11870</v>
      </c>
      <c r="G8" s="17">
        <v>201892</v>
      </c>
      <c r="H8" s="17">
        <v>34968</v>
      </c>
      <c r="I8" s="17">
        <f>G8+H8-C8-E8</f>
        <v>0</v>
      </c>
      <c r="J8" s="42">
        <f>E8/E7-1</f>
        <v>-0.0238362595804366</v>
      </c>
      <c r="K8" s="42">
        <f>G8/G7-1</f>
        <v>-0.0263883798537837</v>
      </c>
      <c r="L8" s="17">
        <f>C8-G8</f>
        <v>-177233.5</v>
      </c>
    </row>
    <row r="9" ht="20.9" customHeight="1">
      <c r="B9" s="32"/>
      <c r="C9" s="16">
        <v>25864.29</v>
      </c>
      <c r="D9" s="17">
        <v>241815</v>
      </c>
      <c r="E9" s="17">
        <f>D9-C9</f>
        <v>215950.71</v>
      </c>
      <c r="F9" s="17">
        <f>440+109+912+2350+1+29+435+7081+32+14</f>
        <v>11403</v>
      </c>
      <c r="G9" s="17">
        <v>206091</v>
      </c>
      <c r="H9" s="17">
        <v>35724</v>
      </c>
      <c r="I9" s="17">
        <f>G9+H9-C9-E9</f>
        <v>0</v>
      </c>
      <c r="J9" s="42">
        <f>E9/E8-1</f>
        <v>0.0176681597443939</v>
      </c>
      <c r="K9" s="42">
        <f>G9/G8-1</f>
        <v>0.0207982485685416</v>
      </c>
      <c r="L9" s="17">
        <f>C9-G9</f>
        <v>-180226.71</v>
      </c>
    </row>
    <row r="10" ht="20.9" customHeight="1">
      <c r="B10" s="32"/>
      <c r="C10" s="16">
        <v>33230</v>
      </c>
      <c r="D10" s="17">
        <v>252131</v>
      </c>
      <c r="E10" s="17">
        <f>D10-C10</f>
        <v>218901</v>
      </c>
      <c r="F10" s="17">
        <f>439+109+965+2433+1+18+394+7593+32+9</f>
        <v>11993</v>
      </c>
      <c r="G10" s="17">
        <v>215544</v>
      </c>
      <c r="H10" s="17">
        <v>36587</v>
      </c>
      <c r="I10" s="17">
        <f>G10+H10-C10-E10</f>
        <v>0</v>
      </c>
      <c r="J10" s="42">
        <f>E10/E9-1</f>
        <v>0.0136618675622784</v>
      </c>
      <c r="K10" s="42">
        <f>G10/G9-1</f>
        <v>0.0458680873982852</v>
      </c>
      <c r="L10" s="17">
        <f>C10-G10</f>
        <v>-182314</v>
      </c>
    </row>
    <row r="11" ht="20.9" customHeight="1">
      <c r="B11" s="32"/>
      <c r="C11" s="16">
        <v>35284.3</v>
      </c>
      <c r="D11" s="17">
        <v>266305</v>
      </c>
      <c r="E11" s="17">
        <f>D11-C11</f>
        <v>231020.7</v>
      </c>
      <c r="F11" s="17">
        <f>439+109+1018+2507+1+9+323+6985+39+9</f>
        <v>11439</v>
      </c>
      <c r="G11" s="17">
        <v>229354</v>
      </c>
      <c r="H11" s="17">
        <v>36951</v>
      </c>
      <c r="I11" s="17">
        <f>G11+H11-C11-E11</f>
        <v>0</v>
      </c>
      <c r="J11" s="42">
        <f>E11/E10-1</f>
        <v>0.0553661244124056</v>
      </c>
      <c r="K11" s="42">
        <f>G11/G10-1</f>
        <v>0.0640704450135471</v>
      </c>
      <c r="L11" s="17">
        <f>C11-G11</f>
        <v>-194069.7</v>
      </c>
    </row>
    <row r="12" ht="20.9" customHeight="1">
      <c r="B12" s="34">
        <v>2018</v>
      </c>
      <c r="C12" s="16">
        <v>25875.2</v>
      </c>
      <c r="D12" s="17">
        <v>257513</v>
      </c>
      <c r="E12" s="17">
        <f>D12-C12</f>
        <v>231637.8</v>
      </c>
      <c r="F12" s="17">
        <f>439+158+1070+2594+1+7+251+6276+45+11</f>
        <v>10852</v>
      </c>
      <c r="G12" s="17">
        <v>219821</v>
      </c>
      <c r="H12" s="17">
        <v>37692</v>
      </c>
      <c r="I12" s="17">
        <f>G12+H12-C12-E12</f>
        <v>0</v>
      </c>
      <c r="J12" s="42">
        <f>E12/E11-1</f>
        <v>0.00267118920512318</v>
      </c>
      <c r="K12" s="42">
        <f>G12/G11-1</f>
        <v>-0.0415645683092512</v>
      </c>
      <c r="L12" s="17">
        <f>C12-G12</f>
        <v>-193945.8</v>
      </c>
    </row>
    <row r="13" ht="20.9" customHeight="1">
      <c r="B13" s="32"/>
      <c r="C13" s="16">
        <v>25531.2</v>
      </c>
      <c r="D13" s="17">
        <v>260081</v>
      </c>
      <c r="E13" s="17">
        <f>D13-C13</f>
        <v>234549.8</v>
      </c>
      <c r="F13" s="17">
        <f>439+162+1121+2674+1+6+175+6426+43+11</f>
        <v>11058</v>
      </c>
      <c r="G13" s="17">
        <v>222453</v>
      </c>
      <c r="H13" s="17">
        <v>37628</v>
      </c>
      <c r="I13" s="17">
        <f>G13+H13-C13-E13</f>
        <v>0</v>
      </c>
      <c r="J13" s="42">
        <f>E13/E12-1</f>
        <v>0.0125713506172136</v>
      </c>
      <c r="K13" s="42">
        <f>G13/G12-1</f>
        <v>0.0119733783396491</v>
      </c>
      <c r="L13" s="17">
        <f>C13-G13</f>
        <v>-196921.8</v>
      </c>
    </row>
    <row r="14" ht="20.9" customHeight="1">
      <c r="B14" s="32"/>
      <c r="C14" s="16">
        <v>25504.9</v>
      </c>
      <c r="D14" s="17">
        <v>260607</v>
      </c>
      <c r="E14" s="17">
        <f>D14-C14</f>
        <v>235102.1</v>
      </c>
      <c r="F14" s="17">
        <f>440+153+1173+2754+1+4+112+6092+42+11</f>
        <v>10782</v>
      </c>
      <c r="G14" s="17">
        <v>222128</v>
      </c>
      <c r="H14" s="17">
        <v>38479</v>
      </c>
      <c r="I14" s="17">
        <f>G14+H14-C14-E14</f>
        <v>0</v>
      </c>
      <c r="J14" s="42">
        <f>E14/E13-1</f>
        <v>0.00235472381558202</v>
      </c>
      <c r="K14" s="42">
        <f>G14/G13-1</f>
        <v>-0.00146098276939398</v>
      </c>
      <c r="L14" s="17">
        <f>C14-G14</f>
        <v>-196623.1</v>
      </c>
    </row>
    <row r="15" ht="20.9" customHeight="1">
      <c r="B15" s="32"/>
      <c r="C15" s="16">
        <v>27780</v>
      </c>
      <c r="D15" s="17">
        <v>266781</v>
      </c>
      <c r="E15" s="17">
        <f>D15-C15</f>
        <v>239001</v>
      </c>
      <c r="F15" s="17">
        <f>440+177+1221+2767+1+4+147+5951+39+13</f>
        <v>10760</v>
      </c>
      <c r="G15" s="17">
        <v>227201</v>
      </c>
      <c r="H15" s="17">
        <v>39580</v>
      </c>
      <c r="I15" s="17">
        <f>G15+H15-C15-E15</f>
        <v>0</v>
      </c>
      <c r="J15" s="42">
        <f>E15/E14-1</f>
        <v>0.0165838586724661</v>
      </c>
      <c r="K15" s="42">
        <f>G15/G14-1</f>
        <v>0.0228381833897573</v>
      </c>
      <c r="L15" s="17">
        <f>C15-G15</f>
        <v>-199421</v>
      </c>
    </row>
    <row r="16" ht="20.9" customHeight="1">
      <c r="B16" s="34">
        <v>2019</v>
      </c>
      <c r="C16" s="16">
        <v>22403.1</v>
      </c>
      <c r="D16" s="17">
        <v>262818</v>
      </c>
      <c r="E16" s="17">
        <f>D16-C16</f>
        <v>240414.9</v>
      </c>
      <c r="F16" s="17">
        <f>441+159+1270+2844+1+4+125+6267+39+19</f>
        <v>11169</v>
      </c>
      <c r="G16" s="17">
        <v>221857</v>
      </c>
      <c r="H16" s="17">
        <v>40961</v>
      </c>
      <c r="I16" s="17">
        <f>G16+H16-C16-E16</f>
        <v>0</v>
      </c>
      <c r="J16" s="42">
        <f>E16/E15-1</f>
        <v>0.00591587482897561</v>
      </c>
      <c r="K16" s="42">
        <f>G16/G15-1</f>
        <v>-0.0235210232349329</v>
      </c>
      <c r="L16" s="17">
        <f>C16-G16</f>
        <v>-199453.9</v>
      </c>
    </row>
    <row r="17" ht="20.9" customHeight="1">
      <c r="B17" s="32"/>
      <c r="C17" s="16">
        <v>32915.6</v>
      </c>
      <c r="D17" s="17">
        <v>271860</v>
      </c>
      <c r="E17" s="17">
        <f>D17-C17</f>
        <v>238944.4</v>
      </c>
      <c r="F17" s="17">
        <f>441+123+1309+2823+1+4+113+5333+38+16</f>
        <v>10201</v>
      </c>
      <c r="G17" s="17">
        <v>230336</v>
      </c>
      <c r="H17" s="17">
        <v>41524</v>
      </c>
      <c r="I17" s="17">
        <f>G17+H17-C17-E17</f>
        <v>0</v>
      </c>
      <c r="J17" s="42">
        <f>E17/E16-1</f>
        <v>-0.00611650941767752</v>
      </c>
      <c r="K17" s="42">
        <f>G17/G16-1</f>
        <v>0.0382183117954358</v>
      </c>
      <c r="L17" s="17">
        <f>C17-G17</f>
        <v>-197420.4</v>
      </c>
    </row>
    <row r="18" ht="20.9" customHeight="1">
      <c r="B18" s="32"/>
      <c r="C18" s="16">
        <v>21921.7</v>
      </c>
      <c r="D18" s="17">
        <v>262819</v>
      </c>
      <c r="E18" s="17">
        <f>D18-C18</f>
        <v>240897.3</v>
      </c>
      <c r="F18" s="17">
        <f>124+1354+2373+1+4+98+5431+38+23</f>
        <v>9446</v>
      </c>
      <c r="G18" s="17">
        <v>220536</v>
      </c>
      <c r="H18" s="17">
        <v>42283</v>
      </c>
      <c r="I18" s="17">
        <f>G18+H18-C18-E18</f>
        <v>0</v>
      </c>
      <c r="J18" s="42">
        <f>E18/E17-1</f>
        <v>0.008173031048227119</v>
      </c>
      <c r="K18" s="42">
        <f>G18/G17-1</f>
        <v>-0.0425465407057516</v>
      </c>
      <c r="L18" s="17">
        <f>C18-G18</f>
        <v>-198614.3</v>
      </c>
    </row>
    <row r="19" ht="20.9" customHeight="1">
      <c r="B19" s="32"/>
      <c r="C19" s="16">
        <v>32944.7</v>
      </c>
      <c r="D19" s="17">
        <v>274467</v>
      </c>
      <c r="E19" s="17">
        <f>D19-C19</f>
        <v>241522.3</v>
      </c>
      <c r="F19" s="17">
        <f>442+130+1401+1974+1+75+5985+38+29</f>
        <v>10075</v>
      </c>
      <c r="G19" s="17">
        <v>231173</v>
      </c>
      <c r="H19" s="17">
        <v>43294</v>
      </c>
      <c r="I19" s="17">
        <f>G19+H19-C19-E19</f>
        <v>0</v>
      </c>
      <c r="J19" s="42">
        <f>E19/E18-1</f>
        <v>0.00259446660464854</v>
      </c>
      <c r="K19" s="42">
        <f>G19/G18-1</f>
        <v>0.0482324881198534</v>
      </c>
      <c r="L19" s="17">
        <f>C19-G19</f>
        <v>-198228.3</v>
      </c>
    </row>
    <row r="20" ht="20.9" customHeight="1">
      <c r="B20" s="34">
        <v>2020</v>
      </c>
      <c r="C20" s="16">
        <v>27377.4</v>
      </c>
      <c r="D20" s="17">
        <v>274518</v>
      </c>
      <c r="E20" s="17">
        <f>D20-C20</f>
        <v>247140.6</v>
      </c>
      <c r="F20" s="17">
        <f>444+150+1451+2049+1+94+10261+16+32</f>
        <v>14498</v>
      </c>
      <c r="G20" s="17">
        <v>234489</v>
      </c>
      <c r="H20" s="17">
        <v>40029</v>
      </c>
      <c r="I20" s="17">
        <f>G20+H20-C20-E20</f>
        <v>0</v>
      </c>
      <c r="J20" s="42">
        <f>E20/E19-1</f>
        <v>0.0232620341889755</v>
      </c>
      <c r="K20" s="42">
        <f>G20/G19-1</f>
        <v>0.0143442357022663</v>
      </c>
      <c r="L20" s="17">
        <f>C20-G20</f>
        <v>-207111.6</v>
      </c>
    </row>
    <row r="21" ht="20.9" customHeight="1">
      <c r="B21" s="32"/>
      <c r="C21" s="16">
        <v>24421.2</v>
      </c>
      <c r="D21" s="17">
        <v>274419</v>
      </c>
      <c r="E21" s="17">
        <f>D21-C21</f>
        <v>249997.8</v>
      </c>
      <c r="F21" s="17">
        <f>10+16+10716+88+1+2187+1502+150+443</f>
        <v>15113</v>
      </c>
      <c r="G21" s="17">
        <v>234699</v>
      </c>
      <c r="H21" s="17">
        <v>39720</v>
      </c>
      <c r="I21" s="17">
        <f>G21+H21-C21-E21</f>
        <v>0</v>
      </c>
      <c r="J21" s="42">
        <f>E21/E20-1</f>
        <v>0.0115610304417809</v>
      </c>
      <c r="K21" s="42">
        <f>G21/G20-1</f>
        <v>0.0008955643974770671</v>
      </c>
      <c r="L21" s="17">
        <f>C21-G21</f>
        <v>-210277.8</v>
      </c>
    </row>
    <row r="22" ht="20.9" customHeight="1">
      <c r="B22" s="32"/>
      <c r="C22" s="16">
        <v>29294.9</v>
      </c>
      <c r="D22" s="17">
        <v>281696</v>
      </c>
      <c r="E22" s="17">
        <f>D22-C22</f>
        <v>252401.1</v>
      </c>
      <c r="F22" s="17">
        <f>445+147+1556+2327+1+92+11194+17+8</f>
        <v>15787</v>
      </c>
      <c r="G22" s="17">
        <v>241631</v>
      </c>
      <c r="H22" s="17">
        <v>40065</v>
      </c>
      <c r="I22" s="17">
        <f>G22+H22-C22-E22</f>
        <v>0</v>
      </c>
      <c r="J22" s="42">
        <f>E22/E21-1</f>
        <v>0.009613284596904449</v>
      </c>
      <c r="K22" s="42">
        <f>G22/G21-1</f>
        <v>0.0295357031772611</v>
      </c>
      <c r="L22" s="17">
        <f>C22-G22</f>
        <v>-212336.1</v>
      </c>
    </row>
    <row r="23" ht="20.9" customHeight="1">
      <c r="B23" s="32"/>
      <c r="C23" s="16">
        <v>28223</v>
      </c>
      <c r="D23" s="17">
        <v>280944</v>
      </c>
      <c r="E23" s="17">
        <f>D23-C23</f>
        <v>252721</v>
      </c>
      <c r="F23" s="17">
        <f>444+143+1612+2438+1+131+106+11819+16+8</f>
        <v>16718</v>
      </c>
      <c r="G23" s="17">
        <v>239891</v>
      </c>
      <c r="H23" s="17">
        <v>41053</v>
      </c>
      <c r="I23" s="17">
        <f>G23+H23-C23-E23</f>
        <v>0</v>
      </c>
      <c r="J23" s="42">
        <f>E23/E22-1</f>
        <v>0.00126742712294043</v>
      </c>
      <c r="K23" s="42">
        <f>G23/G22-1</f>
        <v>-0.00720106277754096</v>
      </c>
      <c r="L23" s="17">
        <f>C23-G23</f>
        <v>-211668</v>
      </c>
    </row>
    <row r="24" ht="20.9" customHeight="1">
      <c r="B24" s="34">
        <v>2021</v>
      </c>
      <c r="C24" s="16">
        <v>22461.2</v>
      </c>
      <c r="D24" s="17">
        <v>272546</v>
      </c>
      <c r="E24" s="17">
        <f>D24-C24</f>
        <v>250084.8</v>
      </c>
      <c r="F24" s="17">
        <f>2581+1679+141+444+1+194+99+12579+16+8</f>
        <v>17742</v>
      </c>
      <c r="G24" s="17">
        <v>231406</v>
      </c>
      <c r="H24" s="17">
        <v>41140</v>
      </c>
      <c r="I24" s="17">
        <f>G24+H24-C24-E24</f>
        <v>0</v>
      </c>
      <c r="J24" s="42">
        <f>E24/E23-1</f>
        <v>-0.0104312660997701</v>
      </c>
      <c r="K24" s="42">
        <f>G24/G23-1</f>
        <v>-0.0353702306464186</v>
      </c>
      <c r="L24" s="17">
        <f>C24-G24</f>
        <v>-208944.8</v>
      </c>
    </row>
    <row r="25" ht="20.9" customHeight="1">
      <c r="B25" s="32"/>
      <c r="C25" s="16">
        <v>22589.3</v>
      </c>
      <c r="D25" s="17">
        <v>288931</v>
      </c>
      <c r="E25" s="17">
        <f>D25-C25</f>
        <v>266341.7</v>
      </c>
      <c r="F25" s="17">
        <f>2549+1744+148+442+1+196+78+12204+16+8</f>
        <v>17386</v>
      </c>
      <c r="G25" s="17">
        <v>247528</v>
      </c>
      <c r="H25" s="17">
        <v>41403</v>
      </c>
      <c r="I25" s="17">
        <f>G25+H25-C25-E25</f>
        <v>0</v>
      </c>
      <c r="J25" s="42">
        <f>E25/E24-1</f>
        <v>0.0650055501174002</v>
      </c>
      <c r="K25" s="42">
        <f>G25/G24-1</f>
        <v>0.0696697579146608</v>
      </c>
      <c r="L25" s="17">
        <f>C25-G25</f>
        <v>-224938.7</v>
      </c>
    </row>
    <row r="26" ht="20.9" customHeight="1">
      <c r="B26" s="32"/>
      <c r="C26" s="16">
        <v>31547.4</v>
      </c>
      <c r="D26" s="17">
        <v>295396</v>
      </c>
      <c r="E26" s="17">
        <f>D26-C26</f>
        <v>263848.6</v>
      </c>
      <c r="F26" s="17">
        <f>150+1643+2644+175+1+449+12645+16+8+70</f>
        <v>17801</v>
      </c>
      <c r="G26" s="17">
        <v>252855</v>
      </c>
      <c r="H26" s="17">
        <v>42541</v>
      </c>
      <c r="I26" s="17">
        <f>G26+H26-C26-E26</f>
        <v>0</v>
      </c>
      <c r="J26" s="42">
        <f>E26/E25-1</f>
        <v>-0.00936053197828203</v>
      </c>
      <c r="K26" s="42">
        <f>G26/G25-1</f>
        <v>0.0215207976471349</v>
      </c>
      <c r="L26" s="17">
        <f>C26-G26</f>
        <v>-221307.6</v>
      </c>
    </row>
    <row r="27" ht="20.9" customHeight="1">
      <c r="B27" s="32"/>
      <c r="C27" s="16">
        <v>47016</v>
      </c>
      <c r="D27" s="17">
        <v>310787</v>
      </c>
      <c r="E27" s="17">
        <f>D27-C27</f>
        <v>263771</v>
      </c>
      <c r="F27" s="17">
        <f>2651+1710+146+452+1+39+67+13069+16+8</f>
        <v>18159</v>
      </c>
      <c r="G27" s="17">
        <v>267399</v>
      </c>
      <c r="H27" s="17">
        <v>43388</v>
      </c>
      <c r="I27" s="17">
        <f>G27+H27-C27-E27</f>
        <v>0</v>
      </c>
      <c r="J27" s="42">
        <f>E27/E26-1</f>
        <v>-0.000294108060455883</v>
      </c>
      <c r="K27" s="42">
        <f>G27/G26-1</f>
        <v>0.0575191315180637</v>
      </c>
      <c r="L27" s="17">
        <f>C27-G27</f>
        <v>-220383</v>
      </c>
    </row>
    <row r="28" ht="20.9" customHeight="1">
      <c r="B28" s="34">
        <v>2022</v>
      </c>
      <c r="C28" s="16">
        <f>C27+'Cashflow'!E28+'Cashflow'!F28+'Cashflow'!I28</f>
        <v>37106</v>
      </c>
      <c r="D28" s="17">
        <v>307425</v>
      </c>
      <c r="E28" s="17">
        <f>D28-C28</f>
        <v>270319</v>
      </c>
      <c r="F28" s="17">
        <f>2572+1842+144+466+1+12+75+13677+18+8</f>
        <v>18815</v>
      </c>
      <c r="G28" s="17">
        <v>262819</v>
      </c>
      <c r="H28" s="17">
        <v>44606</v>
      </c>
      <c r="I28" s="17">
        <f>G28+H28-C28-E28</f>
        <v>0</v>
      </c>
      <c r="J28" s="42">
        <f>E28/E27-1</f>
        <v>0.0248245637314185</v>
      </c>
      <c r="K28" s="42">
        <f>G28/G27-1</f>
        <v>-0.0171279623334418</v>
      </c>
      <c r="L28" s="17">
        <f>C28-G28</f>
        <v>-225713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0312" style="43" customWidth="1"/>
    <col min="2" max="2" width="6.86719" style="43" customWidth="1"/>
    <col min="3" max="5" width="8.32031" style="43" customWidth="1"/>
    <col min="6" max="16384" width="16.3516" style="43" customWidth="1"/>
  </cols>
  <sheetData>
    <row r="1" ht="7.3" customHeight="1"/>
    <row r="2" ht="27.65" customHeight="1">
      <c r="B2" t="s" s="2">
        <v>58</v>
      </c>
      <c r="C2" s="2"/>
      <c r="D2" s="2"/>
      <c r="E2" s="2"/>
    </row>
    <row r="3" ht="20.25" customHeight="1">
      <c r="B3" s="4"/>
      <c r="C3" t="s" s="44">
        <v>59</v>
      </c>
      <c r="D3" t="s" s="44">
        <v>36</v>
      </c>
      <c r="E3" t="s" s="44">
        <v>60</v>
      </c>
    </row>
    <row r="4" ht="20.25" customHeight="1">
      <c r="B4" s="26">
        <v>2018</v>
      </c>
      <c r="C4" s="45">
        <v>1170</v>
      </c>
      <c r="D4" s="46"/>
      <c r="E4" s="46"/>
    </row>
    <row r="5" ht="20.05" customHeight="1">
      <c r="B5" s="32"/>
      <c r="C5" s="47">
        <v>950</v>
      </c>
      <c r="D5" s="19"/>
      <c r="E5" s="19"/>
    </row>
    <row r="6" ht="20.05" customHeight="1">
      <c r="B6" s="32"/>
      <c r="C6" s="47">
        <v>930</v>
      </c>
      <c r="D6" s="19"/>
      <c r="E6" s="19"/>
    </row>
    <row r="7" ht="20.05" customHeight="1">
      <c r="B7" s="32"/>
      <c r="C7" s="47">
        <v>915</v>
      </c>
      <c r="D7" s="19"/>
      <c r="E7" s="19"/>
    </row>
    <row r="8" ht="20.05" customHeight="1">
      <c r="B8" s="34">
        <v>2019</v>
      </c>
      <c r="C8" s="47">
        <v>1055</v>
      </c>
      <c r="D8" s="19"/>
      <c r="E8" s="19"/>
    </row>
    <row r="9" ht="20.05" customHeight="1">
      <c r="B9" s="32"/>
      <c r="C9" s="47">
        <v>1115</v>
      </c>
      <c r="D9" s="19"/>
      <c r="E9" s="19"/>
    </row>
    <row r="10" ht="20.05" customHeight="1">
      <c r="B10" s="32"/>
      <c r="C10" s="47">
        <v>1005</v>
      </c>
      <c r="D10" s="19"/>
      <c r="E10" s="19"/>
    </row>
    <row r="11" ht="20.05" customHeight="1">
      <c r="B11" s="32"/>
      <c r="C11" s="47">
        <v>965</v>
      </c>
      <c r="D11" s="19"/>
      <c r="E11" s="19"/>
    </row>
    <row r="12" ht="20.05" customHeight="1">
      <c r="B12" s="34">
        <v>2020</v>
      </c>
      <c r="C12" s="47">
        <v>615</v>
      </c>
      <c r="D12" s="19"/>
      <c r="E12" s="19"/>
    </row>
    <row r="13" ht="20.05" customHeight="1">
      <c r="B13" s="32"/>
      <c r="C13" s="47">
        <v>720</v>
      </c>
      <c r="D13" s="35"/>
      <c r="E13" s="35"/>
    </row>
    <row r="14" ht="20.05" customHeight="1">
      <c r="B14" s="32"/>
      <c r="C14" s="47">
        <v>720</v>
      </c>
      <c r="D14" s="35"/>
      <c r="E14" s="35"/>
    </row>
    <row r="15" ht="20.05" customHeight="1">
      <c r="B15" s="32"/>
      <c r="C15" s="47">
        <v>995</v>
      </c>
      <c r="D15" s="35"/>
      <c r="E15" s="35"/>
    </row>
    <row r="16" ht="20.05" customHeight="1">
      <c r="B16" s="34">
        <v>2021</v>
      </c>
      <c r="C16" s="47">
        <v>1135</v>
      </c>
      <c r="D16" s="35"/>
      <c r="E16" s="17">
        <v>2580.995614150780</v>
      </c>
    </row>
    <row r="17" ht="20.05" customHeight="1">
      <c r="B17" s="32"/>
      <c r="C17" s="47">
        <v>880</v>
      </c>
      <c r="D17" s="35"/>
      <c r="E17" s="17">
        <v>2303.069498412030</v>
      </c>
    </row>
    <row r="18" ht="20.05" customHeight="1">
      <c r="B18" s="32"/>
      <c r="C18" s="47">
        <v>975</v>
      </c>
      <c r="D18" s="35"/>
      <c r="E18" s="35"/>
    </row>
    <row r="19" ht="20.05" customHeight="1">
      <c r="B19" s="32"/>
      <c r="C19" s="47">
        <v>965</v>
      </c>
      <c r="D19" s="35"/>
      <c r="E19" s="17">
        <v>2126.720305281880</v>
      </c>
    </row>
    <row r="20" ht="20.05" customHeight="1">
      <c r="B20" s="34">
        <v>2022</v>
      </c>
      <c r="C20" s="47">
        <v>1115</v>
      </c>
      <c r="D20" s="35"/>
      <c r="E20" s="17">
        <v>2054</v>
      </c>
    </row>
    <row r="21" ht="20.05" customHeight="1">
      <c r="B21" s="32"/>
      <c r="C21" s="16">
        <v>1065</v>
      </c>
      <c r="D21" s="17">
        <f>C21</f>
        <v>1065</v>
      </c>
      <c r="E21" s="17">
        <v>2169.079774553220</v>
      </c>
    </row>
    <row r="22" ht="20.05" customHeight="1">
      <c r="B22" s="32"/>
      <c r="C22" s="47"/>
      <c r="D22" s="17">
        <f>'Model'!F42</f>
        <v>1491.487439052360</v>
      </c>
      <c r="E22" s="35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1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1.8594" style="48" customWidth="1"/>
    <col min="9" max="16384" width="16.3516" style="48" customWidth="1"/>
  </cols>
  <sheetData>
    <row r="1" ht="27.65" customHeight="1">
      <c r="A1" t="s" s="2">
        <v>29</v>
      </c>
      <c r="B1" s="2"/>
      <c r="C1" s="2"/>
      <c r="D1" s="2"/>
      <c r="E1" s="2"/>
      <c r="F1" s="2"/>
      <c r="G1" s="2"/>
      <c r="H1" s="2"/>
    </row>
    <row r="2" ht="20.25" customHeight="1">
      <c r="A2" s="4"/>
      <c r="B2" t="s" s="44">
        <v>25</v>
      </c>
      <c r="C2" t="s" s="44">
        <v>26</v>
      </c>
      <c r="D2" t="s" s="44">
        <v>61</v>
      </c>
      <c r="E2" t="s" s="44">
        <v>25</v>
      </c>
      <c r="F2" t="s" s="44">
        <v>26</v>
      </c>
      <c r="G2" t="s" s="44">
        <v>61</v>
      </c>
      <c r="H2" s="4"/>
    </row>
    <row r="3" ht="20.25" customHeight="1">
      <c r="A3" s="26">
        <v>2005</v>
      </c>
      <c r="B3" s="27">
        <v>-793.75</v>
      </c>
      <c r="C3" s="38">
        <v>1148.197</v>
      </c>
      <c r="D3" s="38">
        <f>C3+B3</f>
        <v>354.447</v>
      </c>
      <c r="E3" s="38">
        <f>B3</f>
        <v>-793.75</v>
      </c>
      <c r="F3" s="38">
        <f>C3</f>
        <v>1148.197</v>
      </c>
      <c r="G3" s="38">
        <f>D3</f>
        <v>354.447</v>
      </c>
      <c r="H3" s="49"/>
    </row>
    <row r="4" ht="20.05" customHeight="1">
      <c r="A4" s="34">
        <v>2006</v>
      </c>
      <c r="B4" s="16">
        <v>-141.777</v>
      </c>
      <c r="C4" s="17">
        <v>-50.843</v>
      </c>
      <c r="D4" s="17">
        <f>C4+B4</f>
        <v>-192.62</v>
      </c>
      <c r="E4" s="17">
        <f>B4+E3</f>
        <v>-935.527</v>
      </c>
      <c r="F4" s="17">
        <f>C4+F3</f>
        <v>1097.354</v>
      </c>
      <c r="G4" s="17">
        <f>D4+G3</f>
        <v>161.827</v>
      </c>
      <c r="H4" s="35"/>
    </row>
    <row r="5" ht="20.05" customHeight="1">
      <c r="A5" s="34">
        <v>2007</v>
      </c>
      <c r="B5" s="16">
        <v>118.751</v>
      </c>
      <c r="C5" s="17">
        <v>-273.18</v>
      </c>
      <c r="D5" s="17">
        <f>C5+B5</f>
        <v>-154.429</v>
      </c>
      <c r="E5" s="17">
        <f>B5+E4</f>
        <v>-816.776</v>
      </c>
      <c r="F5" s="17">
        <f>C5+F4</f>
        <v>824.174</v>
      </c>
      <c r="G5" s="17">
        <f>D5+G4</f>
        <v>7.398</v>
      </c>
      <c r="H5" s="35"/>
    </row>
    <row r="6" ht="20.05" customHeight="1">
      <c r="A6" s="34">
        <v>2008</v>
      </c>
      <c r="B6" s="16">
        <v>377.903</v>
      </c>
      <c r="C6" s="17">
        <v>78.262</v>
      </c>
      <c r="D6" s="17">
        <f>C6+B6</f>
        <v>456.165</v>
      </c>
      <c r="E6" s="17">
        <f>B6+E5</f>
        <v>-438.873</v>
      </c>
      <c r="F6" s="17">
        <f>C6+F5</f>
        <v>902.436</v>
      </c>
      <c r="G6" s="17">
        <f>D6+G5</f>
        <v>463.563</v>
      </c>
      <c r="H6" s="35"/>
    </row>
    <row r="7" ht="20.05" customHeight="1">
      <c r="A7" s="34">
        <v>2009</v>
      </c>
      <c r="B7" s="16">
        <v>-80.756</v>
      </c>
      <c r="C7" s="17">
        <v>-305.17</v>
      </c>
      <c r="D7" s="17">
        <f>C7+B7</f>
        <v>-385.926</v>
      </c>
      <c r="E7" s="17">
        <f>B7+E6</f>
        <v>-519.629</v>
      </c>
      <c r="F7" s="17">
        <f>C7+F6</f>
        <v>597.266</v>
      </c>
      <c r="G7" s="17">
        <f>D7+G6</f>
        <v>77.637</v>
      </c>
      <c r="H7" s="35"/>
    </row>
    <row r="8" ht="20.05" customHeight="1">
      <c r="A8" s="34">
        <v>2010</v>
      </c>
      <c r="B8" s="16">
        <v>2770.01</v>
      </c>
      <c r="C8" s="17">
        <v>0</v>
      </c>
      <c r="D8" s="17">
        <f>C8+B8</f>
        <v>2770.01</v>
      </c>
      <c r="E8" s="17">
        <f>B8+E7</f>
        <v>2250.381</v>
      </c>
      <c r="F8" s="17">
        <f>C8+F7</f>
        <v>597.266</v>
      </c>
      <c r="G8" s="17">
        <f>D8+G7</f>
        <v>2847.647</v>
      </c>
      <c r="H8" s="35"/>
    </row>
    <row r="9" ht="20.05" customHeight="1">
      <c r="A9" s="34">
        <v>2011</v>
      </c>
      <c r="B9" s="16">
        <v>2999.49</v>
      </c>
      <c r="C9" s="17">
        <v>1296.133</v>
      </c>
      <c r="D9" s="17">
        <f>C9+B9</f>
        <v>4295.623</v>
      </c>
      <c r="E9" s="17">
        <f>B9+E8</f>
        <v>5249.871</v>
      </c>
      <c r="F9" s="17">
        <f>C9+F8</f>
        <v>1893.399</v>
      </c>
      <c r="G9" s="17">
        <f>D9+G8</f>
        <v>7143.27</v>
      </c>
      <c r="H9" s="35"/>
    </row>
    <row r="10" ht="20.05" customHeight="1">
      <c r="A10" s="34">
        <v>2012</v>
      </c>
      <c r="B10" s="16">
        <v>3817.448</v>
      </c>
      <c r="C10" s="17">
        <v>0</v>
      </c>
      <c r="D10" s="17">
        <f>C10+B10</f>
        <v>3817.448</v>
      </c>
      <c r="E10" s="17">
        <f>B10+E9</f>
        <v>9067.319</v>
      </c>
      <c r="F10" s="17">
        <f>C10+F9</f>
        <v>1893.399</v>
      </c>
      <c r="G10" s="17">
        <f>D10+G9</f>
        <v>10960.718</v>
      </c>
      <c r="H10" s="35"/>
    </row>
    <row r="11" ht="20.05" customHeight="1">
      <c r="A11" s="34">
        <v>2013</v>
      </c>
      <c r="B11" s="16">
        <v>4257.703</v>
      </c>
      <c r="C11" s="17">
        <v>0</v>
      </c>
      <c r="D11" s="17">
        <f>C11+B11</f>
        <v>4257.703</v>
      </c>
      <c r="E11" s="17">
        <f>B11+E10</f>
        <v>13325.022</v>
      </c>
      <c r="F11" s="17">
        <f>C11+F10</f>
        <v>1893.399</v>
      </c>
      <c r="G11" s="17">
        <f>D11+G10</f>
        <v>15218.421</v>
      </c>
      <c r="H11" s="35"/>
    </row>
    <row r="12" ht="20.05" customHeight="1">
      <c r="A12" s="34">
        <v>2014</v>
      </c>
      <c r="B12" s="16">
        <v>-81.03100000000001</v>
      </c>
      <c r="C12" s="17">
        <v>0</v>
      </c>
      <c r="D12" s="17">
        <f>C12+B12</f>
        <v>-81.03100000000001</v>
      </c>
      <c r="E12" s="17">
        <f>B12+E11</f>
        <v>13243.991</v>
      </c>
      <c r="F12" s="17">
        <f>C12+F11</f>
        <v>1893.399</v>
      </c>
      <c r="G12" s="17">
        <f>D12+G11</f>
        <v>15137.39</v>
      </c>
      <c r="H12" s="35"/>
    </row>
    <row r="13" ht="20.05" customHeight="1">
      <c r="A13" s="34">
        <v>2015</v>
      </c>
      <c r="B13" s="16">
        <v>-3456.496</v>
      </c>
      <c r="C13" s="17">
        <v>0</v>
      </c>
      <c r="D13" s="17">
        <f>C13+B13</f>
        <v>-3456.496</v>
      </c>
      <c r="E13" s="17">
        <f>B13+E12</f>
        <v>9787.495000000001</v>
      </c>
      <c r="F13" s="17">
        <f>C13+F12</f>
        <v>1893.399</v>
      </c>
      <c r="G13" s="17">
        <f>D13+G12</f>
        <v>11680.894</v>
      </c>
      <c r="H13" s="35"/>
    </row>
    <row r="14" ht="20.05" customHeight="1">
      <c r="A14" s="34">
        <v>2016</v>
      </c>
      <c r="B14" s="16">
        <v>-3733.655</v>
      </c>
      <c r="C14" s="17">
        <v>0</v>
      </c>
      <c r="D14" s="17">
        <f>C14+B14</f>
        <v>-3733.655</v>
      </c>
      <c r="E14" s="17">
        <f>B14+E13</f>
        <v>6053.84</v>
      </c>
      <c r="F14" s="17">
        <f>C14+F13</f>
        <v>1893.399</v>
      </c>
      <c r="G14" s="17">
        <f>D14+G13</f>
        <v>7947.239</v>
      </c>
      <c r="H14" s="35"/>
    </row>
    <row r="15" ht="20.05" customHeight="1">
      <c r="A15" s="34">
        <v>2017</v>
      </c>
      <c r="B15" s="16">
        <v>155.081</v>
      </c>
      <c r="C15" s="17">
        <v>-242.9</v>
      </c>
      <c r="D15" s="17">
        <f>C15+B15</f>
        <v>-87.819</v>
      </c>
      <c r="E15" s="17">
        <f>B15+E14</f>
        <v>6208.921</v>
      </c>
      <c r="F15" s="17">
        <f>C15+F14</f>
        <v>1650.499</v>
      </c>
      <c r="G15" s="17">
        <f>D15+G14</f>
        <v>7859.42</v>
      </c>
      <c r="H15" s="35"/>
    </row>
    <row r="16" ht="20.05" customHeight="1">
      <c r="A16" s="34">
        <v>2018</v>
      </c>
      <c r="B16" s="16">
        <v>-4543.2</v>
      </c>
      <c r="C16" s="17">
        <v>-602.8</v>
      </c>
      <c r="D16" s="17">
        <f>C16+B16</f>
        <v>-5146</v>
      </c>
      <c r="E16" s="17">
        <f>B16+E15</f>
        <v>1665.721</v>
      </c>
      <c r="F16" s="17">
        <f>C16+F15</f>
        <v>1047.699</v>
      </c>
      <c r="G16" s="17">
        <f>D16+G15</f>
        <v>2713.42</v>
      </c>
      <c r="H16" s="35"/>
    </row>
    <row r="17" ht="20.05" customHeight="1">
      <c r="A17" s="34">
        <v>2019</v>
      </c>
      <c r="B17" s="16">
        <v>2099.436</v>
      </c>
      <c r="C17" s="17">
        <v>-700.45</v>
      </c>
      <c r="D17" s="17">
        <f>C17+B17</f>
        <v>1398.986</v>
      </c>
      <c r="E17" s="17">
        <f>B17+E16</f>
        <v>3765.157</v>
      </c>
      <c r="F17" s="17">
        <f>C17+F16</f>
        <v>347.249</v>
      </c>
      <c r="G17" s="17">
        <f>D17+G16</f>
        <v>4112.406</v>
      </c>
      <c r="H17" s="23">
        <f>AVERAGE(D3:D19)</f>
        <v>-249.778588235294</v>
      </c>
    </row>
    <row r="18" ht="20.05" customHeight="1">
      <c r="A18" s="34">
        <v>2020</v>
      </c>
      <c r="B18" s="16">
        <v>-5190.642</v>
      </c>
      <c r="C18" s="17">
        <v>-1393</v>
      </c>
      <c r="D18" s="17">
        <f>C18+B18</f>
        <v>-6583.642</v>
      </c>
      <c r="E18" s="17">
        <f>B18+E17</f>
        <v>-1425.485</v>
      </c>
      <c r="F18" s="17">
        <f>C18+F17</f>
        <v>-1045.751</v>
      </c>
      <c r="G18" s="17">
        <f>D18+G17</f>
        <v>-2471.236</v>
      </c>
      <c r="H18" s="23">
        <f>AVERAGE(D15:D19)</f>
        <v>-2438.695</v>
      </c>
    </row>
    <row r="19" ht="20.05" customHeight="1">
      <c r="A19" s="34">
        <v>2021</v>
      </c>
      <c r="B19" s="16">
        <f>SUM('Cashflow'!G24:G27)</f>
        <v>-676</v>
      </c>
      <c r="C19" s="17">
        <f>SUM('Cashflow'!H24:H27)</f>
        <v>-1099</v>
      </c>
      <c r="D19" s="17">
        <f>C19+B19</f>
        <v>-1775</v>
      </c>
      <c r="E19" s="17">
        <f>B19+E18</f>
        <v>-2101.485</v>
      </c>
      <c r="F19" s="17">
        <f>C19+F18</f>
        <v>-2144.751</v>
      </c>
      <c r="G19" s="17">
        <f>D19+G18</f>
        <v>-4246.236</v>
      </c>
      <c r="H19" s="23">
        <f>D19</f>
        <v>-1775</v>
      </c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