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<sst xmlns="http://schemas.openxmlformats.org/spreadsheetml/2006/main" uniqueCount="64">
  <si>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</si>
  <si>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</si>
  <si>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</si>
  <si>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</si>
  <si>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</si>
  <si>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</si>
  <si>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</si>
  <si>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</si>
  <si>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</si>
  <si>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</si>
  <si>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</si>
  <si>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</si>
  <si>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</si>
  <si>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</si>
  <si>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</si>
  <si>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</si>
  <si>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</si>
  <si>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</si>
  <si>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</si>
  <si>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</si>
  <si>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</si>
  <si>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</si>
  <si>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</si>
  <si>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</si>
  <si>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</si>
  <si>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</si>
  <si>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</si>
  <si>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</si>
  <si>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</si>
  <si>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</si>
  <si>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</si>
  <si>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</si>
  <si>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</si>
  <si>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</si>
  <si>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</si>
  <si>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</si>
  <si>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</si>
  <si>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</si>
  <si>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</si>
  <si>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</si>
  <si>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</si>
  <si>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</si>
  <si>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>Provision for uncollectibles</t>
  </si>
  <si>
    <t xml:space="preserve">Net income </t>
  </si>
  <si>
    <t>Sales to assets ratio</t>
  </si>
  <si>
    <t xml:space="preserve">Sales growth </t>
  </si>
  <si>
    <t>Cost ratio %</t>
  </si>
  <si>
    <t>Costs</t>
  </si>
  <si>
    <t>Receipts</t>
  </si>
  <si>
    <t>Operating before working capital</t>
  </si>
  <si>
    <t>Capex</t>
  </si>
  <si>
    <t xml:space="preserve">Operating </t>
  </si>
  <si>
    <t xml:space="preserve">Investing 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</si>
  <si>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</si>
  <si>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</si>
  <si>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</si>
  <si>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</si>
  <si>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</si>
  <si>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 &amp; provisions</t>
  </si>
  <si>
    <t>Check</t>
  </si>
  <si>
    <t xml:space="preserve">Other ST assets growth </t>
  </si>
  <si>
    <t>Liabilities growth</t>
  </si>
  <si>
    <t>Share price</t>
  </si>
  <si>
    <t>BMRI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</si>
</sst>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%_);[Red]\(0%\)"/>
    <numFmt numFmtId="60" formatCode="#,##0%"/>
    <numFmt numFmtId="61" formatCode="#,##0%_);[Red]\(#,##0%\)"/>
    <numFmt numFmtId="62" formatCode="0.0%"/>
    <numFmt numFmtId="63" formatCode="#,##0.0%_);[Red]\(#,##0.0%\)"/>
    <numFmt numFmtId="64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732585</xdr:colOff>
      <xdr:row>1</xdr:row>
      <xdr:rowOff>58438</xdr:rowOff>
    </xdr:from>
    <xdr:to>
      <xdr:col>13</xdr:col>
      <xdr:colOff>20565</xdr:colOff>
      <xdr:row>42</xdr:row>
      <xdr:rowOff>208994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36285" y="409593"/>
          <a:ext cx="8000181" cy="106172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t="s" s="4">
        <v>2</v>
      </c>
      <c r="D2" s="5"/>
      <c r="E2" s="5"/>
      <c r="F2" s="5"/>
    </row>
    <row r="3" ht="20.3" customHeight="1">
      <c r="B3" t="s" s="6">
        <v>3</v>
      </c>
      <c r="C3" s="7">
        <f>AVERAGE('Sales'!I27:I30)</f>
        <v>0.0659773071231843</v>
      </c>
      <c r="D3" s="8"/>
      <c r="E3" s="8"/>
      <c r="F3" s="8">
        <f>AVERAGE(C4:F4)</f>
        <v>0.0275</v>
      </c>
    </row>
    <row r="4" ht="20.1" customHeight="1">
      <c r="B4" t="s" s="9">
        <v>4</v>
      </c>
      <c r="C4" s="10">
        <v>0.04</v>
      </c>
      <c r="D4" s="11">
        <v>0.01</v>
      </c>
      <c r="E4" s="11">
        <v>0.02</v>
      </c>
      <c r="F4" s="11">
        <v>0.04</v>
      </c>
    </row>
    <row r="5" ht="20.1" customHeight="1">
      <c r="B5" t="s" s="9">
        <v>5</v>
      </c>
      <c r="C5" s="12">
        <f>'Sales'!C30*(1+C4)</f>
        <v>36217.376</v>
      </c>
      <c r="D5" s="13">
        <f>C5*(1+D4)</f>
        <v>36579.54976</v>
      </c>
      <c r="E5" s="13">
        <f>D5*(1+E4)</f>
        <v>37311.1407552</v>
      </c>
      <c r="F5" s="13">
        <f>E5*(1+F4)</f>
        <v>38803.586385408</v>
      </c>
    </row>
    <row r="6" ht="20.1" customHeight="1">
      <c r="B6" t="s" s="9">
        <v>6</v>
      </c>
      <c r="C6" s="14">
        <f>AVERAGE('Sales'!J30)</f>
        <v>-0.620854917816244</v>
      </c>
      <c r="D6" s="15">
        <f>C6</f>
        <v>-0.620854917816244</v>
      </c>
      <c r="E6" s="15">
        <f>D6</f>
        <v>-0.620854917816244</v>
      </c>
      <c r="F6" s="15">
        <f>E6</f>
        <v>-0.620854917816244</v>
      </c>
    </row>
    <row r="7" ht="20.1" customHeight="1">
      <c r="B7" t="s" s="9">
        <v>7</v>
      </c>
      <c r="C7" s="16">
        <f>C6*C5</f>
        <v>-22485.736</v>
      </c>
      <c r="D7" s="17">
        <f>D6*D5</f>
        <v>-22710.59336</v>
      </c>
      <c r="E7" s="17">
        <f>E6*E5</f>
        <v>-23164.8052272</v>
      </c>
      <c r="F7" s="17">
        <f>F6*F5</f>
        <v>-24091.397436288</v>
      </c>
    </row>
    <row r="8" ht="20.1" customHeight="1">
      <c r="B8" t="s" s="9">
        <v>8</v>
      </c>
      <c r="C8" s="16">
        <f>C5+C7</f>
        <v>13731.64</v>
      </c>
      <c r="D8" s="17">
        <f>D5+D7</f>
        <v>13868.9564</v>
      </c>
      <c r="E8" s="17">
        <f>E5+E7</f>
        <v>14146.335528</v>
      </c>
      <c r="F8" s="17">
        <f>F5+F7</f>
        <v>14712.18894912</v>
      </c>
    </row>
    <row r="9" ht="20.05" customHeight="1">
      <c r="B9" t="s" s="9">
        <v>9</v>
      </c>
      <c r="C9" s="16">
        <f>AVERAGE(' Cashflow'!E30)</f>
        <v>-387.7</v>
      </c>
      <c r="D9" s="17">
        <f>C9</f>
        <v>-387.7</v>
      </c>
      <c r="E9" s="17">
        <f>D9</f>
        <v>-387.7</v>
      </c>
      <c r="F9" s="17">
        <f>E9</f>
        <v>-387.7</v>
      </c>
    </row>
    <row r="10" ht="20.1" customHeight="1">
      <c r="B10" t="s" s="9">
        <v>10</v>
      </c>
      <c r="C10" s="16">
        <f>C11+C13</f>
        <v>-2368.932</v>
      </c>
      <c r="D10" s="17">
        <f>D11+D13</f>
        <v>-2410.12692</v>
      </c>
      <c r="E10" s="17">
        <f>E11+E13</f>
        <v>-2493.3406584</v>
      </c>
      <c r="F10" s="17">
        <f>F11+F13</f>
        <v>-2663.096684736</v>
      </c>
    </row>
    <row r="11" ht="20.1" customHeight="1">
      <c r="B11" t="s" s="9">
        <v>11</v>
      </c>
      <c r="C11" s="16">
        <f>IF(C20&gt;0,-C20*0.3,0)</f>
        <v>-2368.932</v>
      </c>
      <c r="D11" s="17">
        <f>IF(D20&gt;0,-D20*0.3,0)</f>
        <v>-2410.12692</v>
      </c>
      <c r="E11" s="17">
        <f>IF(E20&gt;0,-E20*0.3,0)</f>
        <v>-2493.3406584</v>
      </c>
      <c r="F11" s="17">
        <f>IF(F20&gt;0,-F20*0.3,0)</f>
        <v>-2663.096684736</v>
      </c>
    </row>
    <row r="12" ht="20.05" customHeight="1">
      <c r="B12" t="s" s="9">
        <v>12</v>
      </c>
      <c r="C12" s="16">
        <f>C8+C9+C11</f>
        <v>10975.008</v>
      </c>
      <c r="D12" s="17">
        <f>D8+D9+D11</f>
        <v>11071.12948</v>
      </c>
      <c r="E12" s="17">
        <f>E8+E9+E11</f>
        <v>11265.2948696</v>
      </c>
      <c r="F12" s="17">
        <f>F8+F9+F11</f>
        <v>11661.392264384</v>
      </c>
    </row>
    <row r="13" ht="20.1" customHeight="1">
      <c r="B13" t="s" s="9">
        <v>13</v>
      </c>
      <c r="C13" s="16">
        <f>-MIN(0,C12)</f>
        <v>0</v>
      </c>
      <c r="D13" s="17">
        <f>-MIN(C26,D12)</f>
        <v>0</v>
      </c>
      <c r="E13" s="17">
        <f>-MIN(D26,E12)</f>
        <v>0</v>
      </c>
      <c r="F13" s="17">
        <f>-MIN(E26,F12)</f>
        <v>0</v>
      </c>
    </row>
    <row r="14" ht="20.1" customHeight="1">
      <c r="B14" t="s" s="9">
        <v>14</v>
      </c>
      <c r="C14" s="16">
        <f>'Balance Sheet '!C30</f>
        <v>20600</v>
      </c>
      <c r="D14" s="17">
        <f>C16</f>
        <v>31575.008</v>
      </c>
      <c r="E14" s="17">
        <f>D16</f>
        <v>42646.13748</v>
      </c>
      <c r="F14" s="17">
        <f>E16</f>
        <v>53911.4323496</v>
      </c>
    </row>
    <row r="15" ht="20.1" customHeight="1">
      <c r="B15" t="s" s="9">
        <v>15</v>
      </c>
      <c r="C15" s="16">
        <f>C8+C9+C10</f>
        <v>10975.008</v>
      </c>
      <c r="D15" s="17">
        <f>D8+D9+D10</f>
        <v>11071.12948</v>
      </c>
      <c r="E15" s="17">
        <f>E8+E9+E10</f>
        <v>11265.2948696</v>
      </c>
      <c r="F15" s="17">
        <f>F8+F9+F10</f>
        <v>11661.392264384</v>
      </c>
    </row>
    <row r="16" ht="20.1" customHeight="1">
      <c r="B16" t="s" s="9">
        <v>16</v>
      </c>
      <c r="C16" s="16">
        <f>C14+C15</f>
        <v>31575.008</v>
      </c>
      <c r="D16" s="17">
        <f>D14+D15</f>
        <v>42646.13748</v>
      </c>
      <c r="E16" s="17">
        <f>E14+E15</f>
        <v>53911.4323496</v>
      </c>
      <c r="F16" s="17">
        <f>F14+F15</f>
        <v>65572.824613984</v>
      </c>
    </row>
    <row r="17" ht="20.1" customHeight="1">
      <c r="B17" t="s" s="18">
        <v>17</v>
      </c>
      <c r="C17" s="19"/>
      <c r="D17" s="20"/>
      <c r="E17" s="20"/>
      <c r="F17" s="20"/>
    </row>
    <row r="18" ht="20.1" customHeight="1">
      <c r="B18" t="s" s="9">
        <v>18</v>
      </c>
      <c r="C18" s="16">
        <f>-AVERAGE('Sales'!F30)</f>
        <v>-810.1</v>
      </c>
      <c r="D18" s="17">
        <f>C18</f>
        <v>-810.1</v>
      </c>
      <c r="E18" s="17">
        <f>D18</f>
        <v>-810.1</v>
      </c>
      <c r="F18" s="17">
        <f>E18</f>
        <v>-810.1</v>
      </c>
    </row>
    <row r="19" ht="20.1" customHeight="1">
      <c r="B19" t="s" s="9">
        <v>19</v>
      </c>
      <c r="C19" s="16">
        <f>-AVERAGE('Sales'!E30)</f>
        <v>-5025.1</v>
      </c>
      <c r="D19" s="17">
        <f>C19</f>
        <v>-5025.1</v>
      </c>
      <c r="E19" s="17">
        <f>D19</f>
        <v>-5025.1</v>
      </c>
      <c r="F19" s="17">
        <f>E19</f>
        <v>-5025.1</v>
      </c>
    </row>
    <row r="20" ht="20.1" customHeight="1">
      <c r="B20" t="s" s="9">
        <v>20</v>
      </c>
      <c r="C20" s="16">
        <f>C5+C7+C18+C19</f>
        <v>7896.44</v>
      </c>
      <c r="D20" s="17">
        <f>D5+D7+D18+D19</f>
        <v>8033.7564</v>
      </c>
      <c r="E20" s="17">
        <f>E5+E7+E18+E19</f>
        <v>8311.135528000001</v>
      </c>
      <c r="F20" s="17">
        <f>F5+F7+F18+F19</f>
        <v>8876.988949119999</v>
      </c>
    </row>
    <row r="21" ht="20.1" customHeight="1">
      <c r="B21" t="s" s="18">
        <v>21</v>
      </c>
      <c r="C21" s="19"/>
      <c r="D21" s="20"/>
      <c r="E21" s="20"/>
      <c r="F21" s="20"/>
    </row>
    <row r="22" ht="20.1" customHeight="1">
      <c r="B22" t="s" s="9">
        <v>22</v>
      </c>
      <c r="C22" s="16">
        <f>'Balance Sheet '!E30+'Balance Sheet '!F30-C9</f>
        <v>1713330.7</v>
      </c>
      <c r="D22" s="17">
        <f>C22-D9</f>
        <v>1713718.4</v>
      </c>
      <c r="E22" s="17">
        <f>D22-E9</f>
        <v>1714106.1</v>
      </c>
      <c r="F22" s="17">
        <f>E22-F9</f>
        <v>1714493.8</v>
      </c>
    </row>
    <row r="23" ht="20.1" customHeight="1">
      <c r="B23" t="s" s="9">
        <v>18</v>
      </c>
      <c r="C23" s="16">
        <f>'Balance Sheet '!F30-C18-C19</f>
        <v>101428.2</v>
      </c>
      <c r="D23" s="17">
        <f>C23-D18-D19</f>
        <v>107263.4</v>
      </c>
      <c r="E23" s="17">
        <f>D23-E18-E19</f>
        <v>113098.6</v>
      </c>
      <c r="F23" s="17">
        <f>E23-F18-F19</f>
        <v>118933.8</v>
      </c>
    </row>
    <row r="24" ht="20.1" customHeight="1">
      <c r="B24" t="s" s="9">
        <v>23</v>
      </c>
      <c r="C24" s="16">
        <f>C22-C23</f>
        <v>1611902.5</v>
      </c>
      <c r="D24" s="17">
        <f>D22-D23</f>
        <v>1606455</v>
      </c>
      <c r="E24" s="17">
        <f>E22-E23</f>
        <v>1601007.5</v>
      </c>
      <c r="F24" s="17">
        <f>F22-F23</f>
        <v>1595560</v>
      </c>
    </row>
    <row r="25" ht="20.1" customHeight="1">
      <c r="B25" t="s" s="9">
        <v>24</v>
      </c>
      <c r="C25" s="16">
        <f>'Balance Sheet '!G30</f>
        <v>1425125</v>
      </c>
      <c r="D25" s="17">
        <f>C25</f>
        <v>1425125</v>
      </c>
      <c r="E25" s="17">
        <f>D25</f>
        <v>1425125</v>
      </c>
      <c r="F25" s="17">
        <f>E25</f>
        <v>1425125</v>
      </c>
    </row>
    <row r="26" ht="20.1" customHeight="1">
      <c r="B26" t="s" s="9">
        <v>13</v>
      </c>
      <c r="C26" s="16">
        <f>C13</f>
        <v>0</v>
      </c>
      <c r="D26" s="17">
        <f>C26+D13</f>
        <v>0</v>
      </c>
      <c r="E26" s="17">
        <f>D26+E13</f>
        <v>0</v>
      </c>
      <c r="F26" s="17">
        <f>E26+F13</f>
        <v>0</v>
      </c>
    </row>
    <row r="27" ht="20.1" customHeight="1">
      <c r="B27" t="s" s="9">
        <v>25</v>
      </c>
      <c r="C27" s="16">
        <f>'Balance Sheet '!H30+C20+C11</f>
        <v>218352.508</v>
      </c>
      <c r="D27" s="17">
        <f>C27+D20+D11</f>
        <v>223976.13748</v>
      </c>
      <c r="E27" s="17">
        <f>D27+E20+E11</f>
        <v>229793.9323496</v>
      </c>
      <c r="F27" s="17">
        <f>E27+F20+F11</f>
        <v>236007.824613984</v>
      </c>
    </row>
    <row r="28" ht="20.1" customHeight="1">
      <c r="B28" t="s" s="9">
        <v>26</v>
      </c>
      <c r="C28" s="16">
        <f>C25+C26+C27-C16-C24</f>
        <v>0</v>
      </c>
      <c r="D28" s="17">
        <f>D25+D26+D27-D16-D24</f>
        <v>0</v>
      </c>
      <c r="E28" s="17">
        <f>E25+E26+E27-E16-E24</f>
        <v>0</v>
      </c>
      <c r="F28" s="17">
        <f>F25+F26+F27-F16-F24</f>
        <v>0</v>
      </c>
    </row>
    <row r="29" ht="20.1" customHeight="1">
      <c r="B29" t="s" s="18">
        <v>27</v>
      </c>
      <c r="C29" s="16"/>
      <c r="D29" s="17"/>
      <c r="E29" s="17"/>
      <c r="F29" s="17"/>
    </row>
    <row r="30" ht="20.1" customHeight="1">
      <c r="B30" t="s" s="9">
        <v>28</v>
      </c>
      <c r="C30" s="16">
        <f>' Cashflow'!K30-C10</f>
        <v>6368.332</v>
      </c>
      <c r="D30" s="17">
        <f>C30-D10</f>
        <v>8778.458919999999</v>
      </c>
      <c r="E30" s="17">
        <f>D30-E10</f>
        <v>11271.7995784</v>
      </c>
      <c r="F30" s="17">
        <f>E30-F10</f>
        <v>13934.896263136</v>
      </c>
    </row>
    <row r="31" ht="20.1" customHeight="1">
      <c r="B31" t="s" s="9">
        <v>29</v>
      </c>
      <c r="C31" s="16"/>
      <c r="D31" s="17"/>
      <c r="E31" s="17"/>
      <c r="F31" s="17">
        <v>334600</v>
      </c>
    </row>
    <row r="32" ht="20.1" customHeight="1">
      <c r="B32" t="s" s="9">
        <v>30</v>
      </c>
      <c r="C32" s="16"/>
      <c r="D32" s="17"/>
      <c r="E32" s="17"/>
      <c r="F32" s="21">
        <f>F31/(F16+F24)</f>
        <v>0.201428805115422</v>
      </c>
    </row>
    <row r="33" ht="20.1" customHeight="1">
      <c r="B33" t="s" s="9">
        <v>31</v>
      </c>
      <c r="C33" s="16"/>
      <c r="D33" s="17"/>
      <c r="E33" s="17"/>
      <c r="F33" s="15">
        <f>-(C11+D11+E11+F11)/F31</f>
        <v>0.0296936529083562</v>
      </c>
    </row>
    <row r="34" ht="20.1" customHeight="1">
      <c r="B34" t="s" s="9">
        <v>32</v>
      </c>
      <c r="C34" s="16"/>
      <c r="D34" s="17"/>
      <c r="E34" s="17"/>
      <c r="F34" s="17">
        <f>SUM(C8:F9)</f>
        <v>54908.32087712</v>
      </c>
    </row>
    <row r="35" ht="20.1" customHeight="1">
      <c r="B35" t="s" s="9">
        <v>27</v>
      </c>
      <c r="C35" s="16"/>
      <c r="D35" s="17"/>
      <c r="E35" s="17"/>
      <c r="F35" s="17">
        <f>F31/F34</f>
        <v>6.09379406718347</v>
      </c>
    </row>
    <row r="36" ht="20.1" customHeight="1">
      <c r="B36" t="s" s="22">
        <v>33</v>
      </c>
      <c r="C36" s="16"/>
      <c r="D36" s="17"/>
      <c r="E36" s="17"/>
      <c r="F36" s="17">
        <v>9</v>
      </c>
    </row>
    <row r="37" ht="20.1" customHeight="1">
      <c r="B37" t="s" s="9">
        <v>34</v>
      </c>
      <c r="C37" s="16"/>
      <c r="D37" s="17"/>
      <c r="E37" s="17"/>
      <c r="F37" s="17">
        <f>F34*F36</f>
        <v>494174.88789408</v>
      </c>
    </row>
    <row r="38" ht="20.1" customHeight="1">
      <c r="B38" t="s" s="9">
        <v>35</v>
      </c>
      <c r="C38" s="12"/>
      <c r="D38" s="13"/>
      <c r="E38" s="13"/>
      <c r="F38" s="13">
        <f>F31/F40</f>
        <v>46.7972027972028</v>
      </c>
    </row>
    <row r="39" ht="20.1" customHeight="1">
      <c r="B39" t="s" s="9">
        <v>36</v>
      </c>
      <c r="C39" s="12"/>
      <c r="D39" s="13"/>
      <c r="E39" s="13"/>
      <c r="F39" s="13">
        <f>F37/F38</f>
        <v>10559.9236355131</v>
      </c>
    </row>
    <row r="40" ht="20.1" customHeight="1">
      <c r="B40" t="s" s="9">
        <v>37</v>
      </c>
      <c r="C40" s="12"/>
      <c r="D40" s="13"/>
      <c r="E40" s="13"/>
      <c r="F40" s="13">
        <f>'Share price'!C98</f>
        <v>7150</v>
      </c>
    </row>
    <row r="41" ht="20.1" customHeight="1">
      <c r="B41" t="s" s="9">
        <v>38</v>
      </c>
      <c r="C41" s="12"/>
      <c r="D41" s="13"/>
      <c r="E41" s="13"/>
      <c r="F41" s="23">
        <f>F39/F40-1</f>
        <v>0.476912396575259</v>
      </c>
    </row>
    <row r="42" ht="20.1" customHeight="1">
      <c r="B42" t="s" s="9">
        <v>39</v>
      </c>
      <c r="C42" s="12"/>
      <c r="D42" s="13"/>
      <c r="E42" s="13"/>
      <c r="F42" s="23">
        <f>'Sales'!C30/'Sales'!C26-1</f>
        <v>0.285179274987711</v>
      </c>
    </row>
    <row r="43" ht="20.1" customHeight="1">
      <c r="B43" t="s" s="9">
        <v>40</v>
      </c>
      <c r="C43" s="12"/>
      <c r="D43" s="13"/>
      <c r="E43" s="13"/>
      <c r="F43" s="15">
        <f>('Sales'!D25+'Sales'!D26+'Sales'!D27+'Sales'!D28+'Sales'!D29+'Sales'!D30)/('Sales'!C25+'Sales'!C26+'Sales'!C27+'Sales'!C28+'Sales'!C29+'Sales'!C30)-1</f>
        <v>-0.00919922743983821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4" customWidth="1"/>
    <col min="2" max="2" width="9.92969" style="24" customWidth="1"/>
    <col min="3" max="5" width="9.30469" style="24" customWidth="1"/>
    <col min="6" max="11" width="10.5312" style="24" customWidth="1"/>
    <col min="12" max="16384" width="16.3516" style="24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56.25" customHeight="1">
      <c r="B3" t="s" s="4">
        <v>1</v>
      </c>
      <c r="C3" t="s" s="4">
        <v>5</v>
      </c>
      <c r="D3" t="s" s="4">
        <v>41</v>
      </c>
      <c r="E3" t="s" s="4">
        <v>42</v>
      </c>
      <c r="F3" t="s" s="4">
        <v>18</v>
      </c>
      <c r="G3" t="s" s="4">
        <v>43</v>
      </c>
      <c r="H3" t="s" s="4">
        <v>44</v>
      </c>
      <c r="I3" t="s" s="4">
        <v>45</v>
      </c>
      <c r="J3" t="s" s="4">
        <v>46</v>
      </c>
      <c r="K3" t="s" s="4">
        <v>47</v>
      </c>
    </row>
    <row r="4" ht="20.25" customHeight="1">
      <c r="B4" s="25">
        <v>2015</v>
      </c>
      <c r="C4" s="26">
        <v>20764</v>
      </c>
      <c r="D4" s="27"/>
      <c r="E4" s="27">
        <v>1639</v>
      </c>
      <c r="F4" s="27">
        <v>331</v>
      </c>
      <c r="G4" s="27">
        <v>5370</v>
      </c>
      <c r="H4" s="28"/>
      <c r="I4" s="29"/>
      <c r="J4" s="29">
        <f>(G4+E4-C4+F4)/C4</f>
        <v>-0.646503563860528</v>
      </c>
      <c r="K4" s="29"/>
    </row>
    <row r="5" ht="20.05" customHeight="1">
      <c r="B5" s="30"/>
      <c r="C5" s="12">
        <v>21623</v>
      </c>
      <c r="D5" s="13"/>
      <c r="E5" s="13">
        <v>95</v>
      </c>
      <c r="F5" s="13">
        <v>368</v>
      </c>
      <c r="G5" s="13">
        <v>4967</v>
      </c>
      <c r="H5" s="31"/>
      <c r="I5" s="15">
        <f>C5/C4-1</f>
        <v>0.0413696782893469</v>
      </c>
      <c r="J5" s="15">
        <f>(G5+E5-C5+F5)/C5</f>
        <v>-0.748878508995052</v>
      </c>
      <c r="K5" s="15"/>
    </row>
    <row r="6" ht="20.05" customHeight="1">
      <c r="B6" s="30"/>
      <c r="C6" s="12">
        <v>23327</v>
      </c>
      <c r="D6" s="13"/>
      <c r="E6" s="13">
        <v>6739</v>
      </c>
      <c r="F6" s="13">
        <v>377</v>
      </c>
      <c r="G6" s="13">
        <v>4823</v>
      </c>
      <c r="H6" s="31"/>
      <c r="I6" s="15">
        <f>C6/C5-1</f>
        <v>0.0788049761827683</v>
      </c>
      <c r="J6" s="15">
        <f>(G6+E6-C6+F6)/C6</f>
        <v>-0.488189651476829</v>
      </c>
      <c r="K6" s="15"/>
    </row>
    <row r="7" ht="20.05" customHeight="1">
      <c r="B7" s="30"/>
      <c r="C7" s="12">
        <v>24235</v>
      </c>
      <c r="D7" s="13"/>
      <c r="E7" s="13">
        <v>3371</v>
      </c>
      <c r="F7" s="13">
        <v>414</v>
      </c>
      <c r="G7" s="13">
        <v>5992</v>
      </c>
      <c r="H7" s="32">
        <f>C7/'Balance Sheet '!E7</f>
        <v>0.0273856042234964</v>
      </c>
      <c r="I7" s="15">
        <f>C7/C6-1</f>
        <v>0.0389248510309941</v>
      </c>
      <c r="J7" s="15">
        <f>(G7+E7-C7+F7)/C7</f>
        <v>-0.596575201155354</v>
      </c>
      <c r="K7" s="15"/>
    </row>
    <row r="8" ht="20.05" customHeight="1">
      <c r="B8" s="33">
        <v>2016</v>
      </c>
      <c r="C8" s="12">
        <v>22308</v>
      </c>
      <c r="D8" s="13"/>
      <c r="E8" s="13">
        <v>4666</v>
      </c>
      <c r="F8" s="13">
        <v>416</v>
      </c>
      <c r="G8" s="13">
        <v>4027</v>
      </c>
      <c r="H8" s="32">
        <f>C8/'Balance Sheet '!E8</f>
        <v>0.025113165724604</v>
      </c>
      <c r="I8" s="15">
        <f>C8/C7-1</f>
        <v>-0.07951310088714671</v>
      </c>
      <c r="J8" s="15">
        <f>(G8+E8-C8+F8)/C8</f>
        <v>-0.591671149363457</v>
      </c>
      <c r="K8" s="15">
        <f>AVERAGE(J5:J8)</f>
        <v>-0.606328627747673</v>
      </c>
    </row>
    <row r="9" ht="20.05" customHeight="1">
      <c r="B9" s="30"/>
      <c r="C9" s="12">
        <v>22842</v>
      </c>
      <c r="D9" s="13"/>
      <c r="E9" s="13">
        <v>5236</v>
      </c>
      <c r="F9" s="13">
        <v>410</v>
      </c>
      <c r="G9" s="13">
        <v>3475</v>
      </c>
      <c r="H9" s="32">
        <f>C9/'Balance Sheet '!E9</f>
        <v>0.0240976311697299</v>
      </c>
      <c r="I9" s="15">
        <f>C9/C8-1</f>
        <v>0.0239376008606778</v>
      </c>
      <c r="J9" s="15">
        <f>(G9+E9-C9+F9)/C9</f>
        <v>-0.60069170825672</v>
      </c>
      <c r="K9" s="15">
        <f>AVERAGE(J6:J9)</f>
        <v>-0.56928192756309</v>
      </c>
    </row>
    <row r="10" ht="20.05" customHeight="1">
      <c r="B10" s="30"/>
      <c r="C10" s="12">
        <v>25289</v>
      </c>
      <c r="D10" s="13"/>
      <c r="E10" s="13">
        <v>6190</v>
      </c>
      <c r="F10" s="13">
        <v>389</v>
      </c>
      <c r="G10" s="13">
        <v>5135</v>
      </c>
      <c r="H10" s="32">
        <f>C10/'Balance Sheet '!E10</f>
        <v>0.0264796023609556</v>
      </c>
      <c r="I10" s="15">
        <f>C10/C9-1</f>
        <v>0.107127221784432</v>
      </c>
      <c r="J10" s="15">
        <f>(G10+E10-C10+F10)/C10</f>
        <v>-0.536794653802048</v>
      </c>
      <c r="K10" s="15">
        <f>AVERAGE(J7:J10)</f>
        <v>-0.581433178144395</v>
      </c>
    </row>
    <row r="11" ht="20.05" customHeight="1">
      <c r="B11" s="30"/>
      <c r="C11" s="12">
        <v>25557</v>
      </c>
      <c r="D11" s="13"/>
      <c r="E11" s="13">
        <v>8734</v>
      </c>
      <c r="F11" s="13">
        <v>543</v>
      </c>
      <c r="G11" s="13">
        <v>2013</v>
      </c>
      <c r="H11" s="32">
        <f>C11/'Balance Sheet '!E11</f>
        <v>0.0251595049808082</v>
      </c>
      <c r="I11" s="15">
        <f>C11/C10-1</f>
        <v>0.010597492981138</v>
      </c>
      <c r="J11" s="15">
        <f>(G11+E11-C11+F11)/C11</f>
        <v>-0.558242360214423</v>
      </c>
      <c r="K11" s="15">
        <f>AVERAGE(J8:J11)</f>
        <v>-0.571849967909162</v>
      </c>
    </row>
    <row r="12" ht="20.05" customHeight="1">
      <c r="B12" s="33">
        <v>2017</v>
      </c>
      <c r="C12" s="12">
        <v>24437</v>
      </c>
      <c r="D12" s="13"/>
      <c r="E12" s="13">
        <v>5376</v>
      </c>
      <c r="F12" s="13">
        <v>480</v>
      </c>
      <c r="G12" s="13">
        <v>4277</v>
      </c>
      <c r="H12" s="32">
        <f>C12/'Balance Sheet '!E12</f>
        <v>0.0241211575628718</v>
      </c>
      <c r="I12" s="15">
        <f>C12/C11-1</f>
        <v>-0.0438236099698713</v>
      </c>
      <c r="J12" s="15">
        <f>(G12+E12-C12+F12)/C12</f>
        <v>-0.585341899578508</v>
      </c>
      <c r="K12" s="15">
        <f>AVERAGE(J9:J12)</f>
        <v>-0.570267655462925</v>
      </c>
    </row>
    <row r="13" ht="20.05" customHeight="1">
      <c r="B13" s="30"/>
      <c r="C13" s="12">
        <v>24864</v>
      </c>
      <c r="D13" s="13"/>
      <c r="E13" s="13">
        <v>3935</v>
      </c>
      <c r="F13" s="13">
        <v>457</v>
      </c>
      <c r="G13" s="13">
        <v>5580</v>
      </c>
      <c r="H13" s="32">
        <f>C13/'Balance Sheet '!E13</f>
        <v>0.0240483520437327</v>
      </c>
      <c r="I13" s="15">
        <f>C13/C12-1</f>
        <v>0.017473503294185</v>
      </c>
      <c r="J13" s="15">
        <f>(G13+E13-C13+F13)/C13</f>
        <v>-0.598938223938224</v>
      </c>
      <c r="K13" s="15">
        <f>AVERAGE(J10:J13)</f>
        <v>-0.569829284383301</v>
      </c>
    </row>
    <row r="14" ht="20.05" customHeight="1">
      <c r="B14" s="30"/>
      <c r="C14" s="12">
        <v>25921</v>
      </c>
      <c r="D14" s="13"/>
      <c r="E14" s="13">
        <v>2788</v>
      </c>
      <c r="F14" s="13">
        <v>434</v>
      </c>
      <c r="G14" s="13">
        <v>5771</v>
      </c>
      <c r="H14" s="32">
        <f>C14/'Balance Sheet '!E14</f>
        <v>0.0245075051338973</v>
      </c>
      <c r="I14" s="15">
        <f>C14/C13-1</f>
        <v>0.0425112612612613</v>
      </c>
      <c r="J14" s="15">
        <f>(G14+E14-C14+F14)/C14</f>
        <v>-0.653061224489796</v>
      </c>
      <c r="K14" s="15">
        <f>AVERAGE(J11:J14)</f>
        <v>-0.598895927055238</v>
      </c>
    </row>
    <row r="15" ht="20.05" customHeight="1">
      <c r="B15" s="30"/>
      <c r="C15" s="12">
        <v>24893</v>
      </c>
      <c r="D15" s="13"/>
      <c r="E15" s="13">
        <v>3679</v>
      </c>
      <c r="F15" s="13">
        <v>461</v>
      </c>
      <c r="G15" s="13">
        <v>5815</v>
      </c>
      <c r="H15" s="32">
        <f>C15/'Balance Sheet '!E15</f>
        <v>0.0226211160707795</v>
      </c>
      <c r="I15" s="15">
        <f>C15/C14-1</f>
        <v>-0.0396589637745457</v>
      </c>
      <c r="J15" s="15">
        <f>(G15+E15-C15+F15)/C15</f>
        <v>-0.600088378258948</v>
      </c>
      <c r="K15" s="15">
        <f>AVERAGE(J12:J15)</f>
        <v>-0.609357431566369</v>
      </c>
    </row>
    <row r="16" ht="20.05" customHeight="1">
      <c r="B16" s="33">
        <v>2018</v>
      </c>
      <c r="C16" s="12">
        <v>24656</v>
      </c>
      <c r="D16" s="13"/>
      <c r="E16" s="13">
        <v>3845</v>
      </c>
      <c r="F16" s="13">
        <v>448</v>
      </c>
      <c r="G16" s="13">
        <v>6076</v>
      </c>
      <c r="H16" s="32">
        <f>C16/'Balance Sheet '!E16</f>
        <v>0.0228904801560444</v>
      </c>
      <c r="I16" s="15">
        <f>C16/C15-1</f>
        <v>-0.009520748804884909</v>
      </c>
      <c r="J16" s="15">
        <f>(G16+E16-C16+F16)/C16</f>
        <v>-0.579453277092797</v>
      </c>
      <c r="K16" s="15">
        <f>AVERAGE(J13:J16)</f>
        <v>-0.607885275944941</v>
      </c>
    </row>
    <row r="17" ht="20.05" customHeight="1">
      <c r="B17" s="30"/>
      <c r="C17" s="12">
        <v>26412</v>
      </c>
      <c r="D17" s="13"/>
      <c r="E17" s="13">
        <v>3947</v>
      </c>
      <c r="F17" s="13">
        <v>451</v>
      </c>
      <c r="G17" s="13">
        <v>6503</v>
      </c>
      <c r="H17" s="32">
        <f>C17/'Balance Sheet '!E17</f>
        <v>0.0234244461393831</v>
      </c>
      <c r="I17" s="15">
        <f>C17/C16-1</f>
        <v>0.0712199870214147</v>
      </c>
      <c r="J17" s="15">
        <f>(G17+E17-C17+F17)/C17</f>
        <v>-0.587270937452673</v>
      </c>
      <c r="K17" s="15">
        <f>AVERAGE(J14:J17)</f>
        <v>-0.604968454323554</v>
      </c>
    </row>
    <row r="18" ht="20.05" customHeight="1">
      <c r="B18" s="30"/>
      <c r="C18" s="12">
        <v>26575</v>
      </c>
      <c r="D18" s="13"/>
      <c r="E18" s="13">
        <v>3324</v>
      </c>
      <c r="F18" s="13">
        <v>447</v>
      </c>
      <c r="G18" s="13">
        <v>6121</v>
      </c>
      <c r="H18" s="32">
        <f>C18/'Balance Sheet '!E18</f>
        <v>0.0230745853955023</v>
      </c>
      <c r="I18" s="15">
        <f>C18/C17-1</f>
        <v>0.00617143722550356</v>
      </c>
      <c r="J18" s="15">
        <f>(G18+E18-C18+F18)/C18</f>
        <v>-0.627770460959548</v>
      </c>
      <c r="K18" s="15">
        <f>AVERAGE(J15:J18)</f>
        <v>-0.598645763440992</v>
      </c>
    </row>
    <row r="19" ht="20.05" customHeight="1">
      <c r="B19" s="30"/>
      <c r="C19" s="12">
        <v>31021.5</v>
      </c>
      <c r="D19" s="13"/>
      <c r="E19" s="13">
        <v>3340</v>
      </c>
      <c r="F19" s="13">
        <v>472</v>
      </c>
      <c r="G19" s="13">
        <v>7152</v>
      </c>
      <c r="H19" s="32">
        <f>C19/'Balance Sheet '!E19</f>
        <v>0.0264034562853274</v>
      </c>
      <c r="I19" s="15">
        <f>C19/C18-1</f>
        <v>0.167318908748824</v>
      </c>
      <c r="J19" s="15">
        <f>(G19+E19-C19+F19)/C19</f>
        <v>-0.646567703044663</v>
      </c>
      <c r="K19" s="15">
        <f>AVERAGE(J16:J19)</f>
        <v>-0.61026559463742</v>
      </c>
    </row>
    <row r="20" ht="20.05" customHeight="1">
      <c r="B20" s="33">
        <v>2019</v>
      </c>
      <c r="C20" s="12">
        <v>28109</v>
      </c>
      <c r="D20" s="13"/>
      <c r="E20" s="13">
        <v>2722</v>
      </c>
      <c r="F20" s="13">
        <v>501</v>
      </c>
      <c r="G20" s="13">
        <v>7461</v>
      </c>
      <c r="H20" s="32">
        <f>C20/'Balance Sheet '!E20</f>
        <v>0.0237344150284468</v>
      </c>
      <c r="I20" s="15">
        <f>C20/C19-1</f>
        <v>-0.0938864980739165</v>
      </c>
      <c r="J20" s="15">
        <f>(G20+E20-C20+F20)/C20</f>
        <v>-0.619908214450888</v>
      </c>
      <c r="K20" s="15">
        <f>AVERAGE(J17:J20)</f>
        <v>-0.620379328976943</v>
      </c>
    </row>
    <row r="21" ht="20.05" customHeight="1">
      <c r="B21" s="30"/>
      <c r="C21" s="12">
        <v>28582</v>
      </c>
      <c r="D21" s="13"/>
      <c r="E21" s="13">
        <v>3459</v>
      </c>
      <c r="F21" s="13">
        <v>514</v>
      </c>
      <c r="G21" s="13">
        <v>6527</v>
      </c>
      <c r="H21" s="32">
        <f>C21/'Balance Sheet '!E21</f>
        <v>0.0236024106135702</v>
      </c>
      <c r="I21" s="15">
        <f>C21/C20-1</f>
        <v>0.0168273506706037</v>
      </c>
      <c r="J21" s="15">
        <f>(G21+E21-C21+F21)/C21</f>
        <v>-0.632635924707858</v>
      </c>
      <c r="K21" s="15">
        <f>AVERAGE(J18:J21)</f>
        <v>-0.631720575790739</v>
      </c>
    </row>
    <row r="22" ht="20.05" customHeight="1">
      <c r="B22" s="30"/>
      <c r="C22" s="12">
        <v>30079</v>
      </c>
      <c r="D22" s="13"/>
      <c r="E22" s="13">
        <v>4030</v>
      </c>
      <c r="F22" s="13">
        <v>512</v>
      </c>
      <c r="G22" s="13">
        <v>6950</v>
      </c>
      <c r="H22" s="32">
        <f>C22/'Balance Sheet '!E22</f>
        <v>0.0240127540063834</v>
      </c>
      <c r="I22" s="15">
        <f>C22/C21-1</f>
        <v>0.0523756210202225</v>
      </c>
      <c r="J22" s="15">
        <f>(G22+E22-C22+F22)/C22</f>
        <v>-0.617939426177732</v>
      </c>
      <c r="K22" s="15">
        <f>AVERAGE(J19:J22)</f>
        <v>-0.629262817095285</v>
      </c>
    </row>
    <row r="23" ht="20.05" customHeight="1">
      <c r="B23" s="30"/>
      <c r="C23" s="12">
        <v>31245</v>
      </c>
      <c r="D23" s="13"/>
      <c r="E23" s="13">
        <v>1599</v>
      </c>
      <c r="F23" s="13">
        <v>533</v>
      </c>
      <c r="G23" s="13">
        <v>7518</v>
      </c>
      <c r="H23" s="32">
        <f>C23/'Balance Sheet '!E23</f>
        <v>0.0242180766297305</v>
      </c>
      <c r="I23" s="15">
        <f>C23/C22-1</f>
        <v>0.0387645865886499</v>
      </c>
      <c r="J23" s="15">
        <f>(G23+E23-C23+F23)/C23</f>
        <v>-0.691150584093455</v>
      </c>
      <c r="K23" s="15">
        <f>AVERAGE(J20:J23)</f>
        <v>-0.640408537357483</v>
      </c>
    </row>
    <row r="24" ht="20.05" customHeight="1">
      <c r="B24" s="33">
        <v>2020</v>
      </c>
      <c r="C24" s="16">
        <f>23709.5+3118+6965.7</f>
        <v>33793.2</v>
      </c>
      <c r="D24" s="13"/>
      <c r="E24" s="13">
        <v>3334.1</v>
      </c>
      <c r="F24" s="13">
        <v>717</v>
      </c>
      <c r="G24" s="13">
        <v>8074.4</v>
      </c>
      <c r="H24" s="32">
        <f>C24/'Balance Sheet '!E24</f>
        <v>0.0260925359558778</v>
      </c>
      <c r="I24" s="15">
        <f>C24/C23-1</f>
        <v>0.08155544887181949</v>
      </c>
      <c r="J24" s="15">
        <f>(G24+E24-C24+F24)/C24</f>
        <v>-0.641185208858587</v>
      </c>
      <c r="K24" s="15">
        <f>AVERAGE(J21:J24)</f>
        <v>-0.6457277859594081</v>
      </c>
    </row>
    <row r="25" ht="20.05" customHeight="1">
      <c r="B25" s="30"/>
      <c r="C25" s="12">
        <f>45199.1+12777.6+5615.5-C24</f>
        <v>29799</v>
      </c>
      <c r="D25" s="17">
        <v>30368</v>
      </c>
      <c r="E25" s="13">
        <v>6391.9</v>
      </c>
      <c r="F25" s="13">
        <f>1435-F24</f>
        <v>718</v>
      </c>
      <c r="G25" s="13">
        <v>2478.07</v>
      </c>
      <c r="H25" s="32">
        <f>C25/'Balance Sheet '!E25</f>
        <v>0.022252490607715</v>
      </c>
      <c r="I25" s="15">
        <f>C25/C24-1</f>
        <v>-0.118195376584638</v>
      </c>
      <c r="J25" s="15">
        <f>(G25+E25-C25+F25)/C25</f>
        <v>-0.6782452431289639</v>
      </c>
      <c r="K25" s="15">
        <f>AVERAGE(J22:J25)</f>
        <v>-0.657130115564685</v>
      </c>
    </row>
    <row r="26" ht="20.05" customHeight="1">
      <c r="B26" s="30"/>
      <c r="C26" s="12">
        <v>27096.92</v>
      </c>
      <c r="D26" s="17">
        <v>29248</v>
      </c>
      <c r="E26" s="13">
        <f>14860-SUM(E24:E25)</f>
        <v>5134</v>
      </c>
      <c r="F26" s="13">
        <f>2161-SUM(F24:F25)</f>
        <v>726</v>
      </c>
      <c r="G26" s="13">
        <f>14433.4-SUM(G24:G25)</f>
        <v>3880.93</v>
      </c>
      <c r="H26" s="32">
        <f>C26/'Balance Sheet '!E26</f>
        <v>0.0194938083936499</v>
      </c>
      <c r="I26" s="15">
        <f>C26/C25-1</f>
        <v>-0.09067686835128699</v>
      </c>
      <c r="J26" s="15">
        <f>(G26+E26-C26+F26)/C26</f>
        <v>-0.640515231989466</v>
      </c>
      <c r="K26" s="15">
        <f>AVERAGE(J23:J26)</f>
        <v>-0.662774067017618</v>
      </c>
    </row>
    <row r="27" ht="20.05" customHeight="1">
      <c r="B27" s="30"/>
      <c r="C27" s="12">
        <v>29933.4</v>
      </c>
      <c r="D27" s="17">
        <v>29823</v>
      </c>
      <c r="E27" s="13">
        <v>6814.6</v>
      </c>
      <c r="F27" s="13">
        <v>689</v>
      </c>
      <c r="G27" s="13">
        <v>3212.2</v>
      </c>
      <c r="H27" s="32">
        <f>C27/'Balance Sheet '!E27</f>
        <v>0.0213102044564806</v>
      </c>
      <c r="I27" s="15">
        <f>C27/C26-1</f>
        <v>0.104679055774605</v>
      </c>
      <c r="J27" s="15">
        <f>(G27+E27-C27+F27)/C27</f>
        <v>-0.642011933158278</v>
      </c>
      <c r="K27" s="15">
        <f>AVERAGE(J24:J27)</f>
        <v>-0.650489404283824</v>
      </c>
    </row>
    <row r="28" ht="20.05" customHeight="1">
      <c r="B28" s="33">
        <v>2021</v>
      </c>
      <c r="C28" s="12">
        <f>24142.5+6087.2+3559.8</f>
        <v>33789.5</v>
      </c>
      <c r="D28" s="20">
        <v>29634</v>
      </c>
      <c r="E28" s="13">
        <v>5096.7</v>
      </c>
      <c r="F28" s="13">
        <f>356.8+340.8</f>
        <v>697.6</v>
      </c>
      <c r="G28" s="17">
        <v>6519.2</v>
      </c>
      <c r="H28" s="32">
        <f>C28/'Balance Sheet '!E28</f>
        <v>0.0215921421076645</v>
      </c>
      <c r="I28" s="15">
        <f>C28/C27-1</f>
        <v>0.128822652956229</v>
      </c>
      <c r="J28" s="15">
        <f>(G28+E28-C28+F28)/C28</f>
        <v>-0.63558205951553</v>
      </c>
      <c r="K28" s="15">
        <f>AVERAGE(J25:J28)</f>
        <v>-0.64908861694806</v>
      </c>
    </row>
    <row r="29" ht="20.05" customHeight="1">
      <c r="B29" s="30"/>
      <c r="C29" s="12">
        <f>48113.1+6431.3+13437.2-C28</f>
        <v>34192.1</v>
      </c>
      <c r="D29" s="13">
        <v>34283.8005606935</v>
      </c>
      <c r="E29" s="13">
        <f>10715.5-E28</f>
        <v>5618.8</v>
      </c>
      <c r="F29" s="13">
        <f>681.3+677.1-F28</f>
        <v>660.8</v>
      </c>
      <c r="G29" s="17">
        <f>13685.2-G28</f>
        <v>7166</v>
      </c>
      <c r="H29" s="32">
        <f>C29/'Balance Sheet '!E29</f>
        <v>0.0219234374659371</v>
      </c>
      <c r="I29" s="15">
        <f>C29/C28-1</f>
        <v>0.0119149439914766</v>
      </c>
      <c r="J29" s="15">
        <f>(G29+E29-C29+F29)/C29</f>
        <v>-0.606762965714302</v>
      </c>
      <c r="K29" s="15">
        <f>AVERAGE(J26:J29)</f>
        <v>-0.631218047594394</v>
      </c>
    </row>
    <row r="30" ht="20.05" customHeight="1">
      <c r="B30" s="30"/>
      <c r="C30" s="12">
        <f>72268.8+9800.8+20736.4-SUM(C28:C29)</f>
        <v>34824.4</v>
      </c>
      <c r="D30" s="13">
        <v>34534.021</v>
      </c>
      <c r="E30" s="13">
        <f>15740.6-SUM(E28:E29)</f>
        <v>5025.1</v>
      </c>
      <c r="F30" s="13">
        <f>2168.5-SUM(F28:F29)</f>
        <v>810.1</v>
      </c>
      <c r="G30" s="17">
        <f>21053.5-SUM(G28:G29)</f>
        <v>7368.3</v>
      </c>
      <c r="H30" s="32">
        <f>C30/'Balance Sheet '!E30</f>
        <v>0.0215317649241042</v>
      </c>
      <c r="I30" s="15">
        <f>C30/C29-1</f>
        <v>0.0184925757704265</v>
      </c>
      <c r="J30" s="15">
        <f>(G30+E30-C30+F30)/C30</f>
        <v>-0.620854917816244</v>
      </c>
      <c r="K30" s="34"/>
    </row>
    <row r="31" ht="20.05" customHeight="1">
      <c r="B31" s="30"/>
      <c r="C31" s="35"/>
      <c r="D31" s="13">
        <f>'Model'!C5</f>
        <v>36217.376</v>
      </c>
      <c r="E31" s="13"/>
      <c r="F31" s="23"/>
      <c r="G31" s="34"/>
      <c r="H31" s="34"/>
      <c r="I31" s="11"/>
      <c r="J31" s="15">
        <f>'Model'!C6</f>
        <v>-0.620854917816244</v>
      </c>
      <c r="K31" s="11"/>
    </row>
    <row r="32" ht="20.05" customHeight="1">
      <c r="B32" s="33">
        <v>2022</v>
      </c>
      <c r="C32" s="35"/>
      <c r="D32" s="13">
        <f>SUM('Model'!D5)</f>
        <v>36579.54976</v>
      </c>
      <c r="E32" s="13"/>
      <c r="F32" s="13"/>
      <c r="G32" s="34"/>
      <c r="H32" s="34"/>
      <c r="I32" s="11"/>
      <c r="J32" s="11"/>
      <c r="K32" s="11"/>
    </row>
    <row r="33" ht="20.05" customHeight="1">
      <c r="B33" s="30"/>
      <c r="C33" s="35"/>
      <c r="D33" s="13">
        <f>'Model'!E5</f>
        <v>37311.1407552</v>
      </c>
      <c r="E33" s="13"/>
      <c r="F33" s="13"/>
      <c r="G33" s="34"/>
      <c r="H33" s="34"/>
      <c r="I33" s="11"/>
      <c r="J33" s="11"/>
      <c r="K33" s="11"/>
    </row>
    <row r="34" ht="20.05" customHeight="1">
      <c r="B34" s="30"/>
      <c r="C34" s="35"/>
      <c r="D34" s="13">
        <f>'Model'!F5</f>
        <v>38803.586385408</v>
      </c>
      <c r="E34" s="13"/>
      <c r="F34" s="13"/>
      <c r="G34" s="34"/>
      <c r="H34" s="34"/>
      <c r="I34" s="11"/>
      <c r="J34" s="11"/>
      <c r="K34" s="11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6" customWidth="1"/>
    <col min="2" max="11" width="9.34375" style="36" customWidth="1"/>
    <col min="12" max="16384" width="16.3516" style="36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56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51</v>
      </c>
      <c r="G3" t="s" s="4">
        <v>52</v>
      </c>
      <c r="H3" t="s" s="4">
        <v>10</v>
      </c>
      <c r="I3" t="s" s="4">
        <v>53</v>
      </c>
      <c r="J3" t="s" s="4">
        <v>3</v>
      </c>
      <c r="K3" t="s" s="4">
        <v>54</v>
      </c>
    </row>
    <row r="4" ht="20.25" customHeight="1">
      <c r="B4" s="25">
        <v>2015</v>
      </c>
      <c r="C4" s="37">
        <v>46177</v>
      </c>
      <c r="D4" s="38"/>
      <c r="E4" s="38"/>
      <c r="F4" s="38">
        <v>23974</v>
      </c>
      <c r="G4" s="38">
        <v>-21208</v>
      </c>
      <c r="H4" s="38">
        <v>-6097</v>
      </c>
      <c r="I4" s="38">
        <f>F4+G4</f>
        <v>2766</v>
      </c>
      <c r="J4" s="39"/>
      <c r="K4" s="38">
        <f>-H4</f>
        <v>6097</v>
      </c>
    </row>
    <row r="5" ht="20.05" customHeight="1">
      <c r="B5" s="30"/>
      <c r="C5" s="16">
        <v>31092</v>
      </c>
      <c r="D5" s="17"/>
      <c r="E5" s="17"/>
      <c r="F5" s="17">
        <v>9045</v>
      </c>
      <c r="G5" s="17">
        <v>-5128</v>
      </c>
      <c r="H5" s="17">
        <v>-548</v>
      </c>
      <c r="I5" s="17">
        <f>F5+G5</f>
        <v>3917</v>
      </c>
      <c r="J5" s="20"/>
      <c r="K5" s="17">
        <f>-H5+K4</f>
        <v>6645</v>
      </c>
    </row>
    <row r="6" ht="20.05" customHeight="1">
      <c r="B6" s="30"/>
      <c r="C6" s="16">
        <v>21648</v>
      </c>
      <c r="D6" s="17"/>
      <c r="E6" s="17"/>
      <c r="F6" s="17">
        <v>15107</v>
      </c>
      <c r="G6" s="17">
        <v>-3821</v>
      </c>
      <c r="H6" s="17">
        <v>-9688</v>
      </c>
      <c r="I6" s="17">
        <f>F6+G6</f>
        <v>11286</v>
      </c>
      <c r="J6" s="20"/>
      <c r="K6" s="17">
        <f>-H6+K5</f>
        <v>16333</v>
      </c>
    </row>
    <row r="7" ht="20.05" customHeight="1">
      <c r="B7" s="30"/>
      <c r="C7" s="16">
        <v>17756</v>
      </c>
      <c r="D7" s="17"/>
      <c r="E7" s="17"/>
      <c r="F7" s="17">
        <v>-37925</v>
      </c>
      <c r="G7" s="17">
        <v>1208</v>
      </c>
      <c r="H7" s="17">
        <v>17111</v>
      </c>
      <c r="I7" s="17">
        <f>F7+G7</f>
        <v>-36717</v>
      </c>
      <c r="J7" s="20"/>
      <c r="K7" s="17">
        <f>-H7+K6</f>
        <v>-778</v>
      </c>
    </row>
    <row r="8" ht="20.05" customHeight="1">
      <c r="B8" s="33">
        <v>2016</v>
      </c>
      <c r="C8" s="16">
        <v>31184</v>
      </c>
      <c r="D8" s="17"/>
      <c r="E8" s="17"/>
      <c r="F8" s="17">
        <v>72</v>
      </c>
      <c r="G8" s="17">
        <v>6002</v>
      </c>
      <c r="H8" s="17">
        <v>-1769</v>
      </c>
      <c r="I8" s="17">
        <f>F8+G8</f>
        <v>6074</v>
      </c>
      <c r="J8" s="17">
        <f>AVERAGE(I5:I8)</f>
        <v>-3860</v>
      </c>
      <c r="K8" s="17">
        <f>-H8+K7</f>
        <v>991</v>
      </c>
    </row>
    <row r="9" ht="20.05" customHeight="1">
      <c r="B9" s="30"/>
      <c r="C9" s="16">
        <v>37536</v>
      </c>
      <c r="D9" s="17"/>
      <c r="E9" s="17"/>
      <c r="F9" s="17">
        <v>20846</v>
      </c>
      <c r="G9" s="17">
        <v>-4237</v>
      </c>
      <c r="H9" s="17">
        <v>1404</v>
      </c>
      <c r="I9" s="17">
        <f>F9+G9</f>
        <v>16609</v>
      </c>
      <c r="J9" s="17">
        <f>AVERAGE(I6:I9)</f>
        <v>-687</v>
      </c>
      <c r="K9" s="17">
        <f>-H9+K8</f>
        <v>-413</v>
      </c>
    </row>
    <row r="10" ht="20.05" customHeight="1">
      <c r="B10" s="30"/>
      <c r="C10" s="16">
        <v>45746</v>
      </c>
      <c r="D10" s="17"/>
      <c r="E10" s="17"/>
      <c r="F10" s="17">
        <v>-7426</v>
      </c>
      <c r="G10" s="17">
        <v>-5731</v>
      </c>
      <c r="H10" s="17">
        <v>6678</v>
      </c>
      <c r="I10" s="17">
        <f>F10+G10</f>
        <v>-13157</v>
      </c>
      <c r="J10" s="17">
        <f>AVERAGE(I7:I10)</f>
        <v>-6797.75</v>
      </c>
      <c r="K10" s="17">
        <f>-H10+K9</f>
        <v>-7091</v>
      </c>
    </row>
    <row r="11" ht="20.05" customHeight="1">
      <c r="B11" s="30"/>
      <c r="C11" s="16">
        <v>25987</v>
      </c>
      <c r="D11" s="17"/>
      <c r="E11" s="17"/>
      <c r="F11" s="17">
        <v>28029</v>
      </c>
      <c r="G11" s="17">
        <v>-2197</v>
      </c>
      <c r="H11" s="17">
        <v>-8288</v>
      </c>
      <c r="I11" s="17">
        <f>F11+G11</f>
        <v>25832</v>
      </c>
      <c r="J11" s="17">
        <f>AVERAGE(I8:I11)</f>
        <v>8839.5</v>
      </c>
      <c r="K11" s="17">
        <f>-H11+K10</f>
        <v>1197</v>
      </c>
    </row>
    <row r="12" ht="20.05" customHeight="1">
      <c r="B12" s="33">
        <v>2017</v>
      </c>
      <c r="C12" s="16">
        <v>32448</v>
      </c>
      <c r="D12" s="17"/>
      <c r="E12" s="17"/>
      <c r="F12" s="17">
        <v>-930</v>
      </c>
      <c r="G12" s="17">
        <v>-3379</v>
      </c>
      <c r="H12" s="17">
        <v>-2007</v>
      </c>
      <c r="I12" s="17">
        <f>F12+G12</f>
        <v>-4309</v>
      </c>
      <c r="J12" s="17">
        <f>AVERAGE(I9:I12)</f>
        <v>6243.75</v>
      </c>
      <c r="K12" s="17">
        <f>-H12+K11</f>
        <v>3204</v>
      </c>
    </row>
    <row r="13" ht="20.05" customHeight="1">
      <c r="B13" s="30"/>
      <c r="C13" s="16">
        <v>35715</v>
      </c>
      <c r="D13" s="17"/>
      <c r="E13" s="17"/>
      <c r="F13" s="17">
        <v>-6989</v>
      </c>
      <c r="G13" s="17">
        <v>4830</v>
      </c>
      <c r="H13" s="17">
        <v>14331</v>
      </c>
      <c r="I13" s="17">
        <f>F13+G13</f>
        <v>-2159</v>
      </c>
      <c r="J13" s="17">
        <f>AVERAGE(I10:I13)</f>
        <v>1551.75</v>
      </c>
      <c r="K13" s="17">
        <f>-H13+K12</f>
        <v>-11127</v>
      </c>
    </row>
    <row r="14" ht="20.05" customHeight="1">
      <c r="B14" s="30"/>
      <c r="C14" s="16">
        <v>40645</v>
      </c>
      <c r="D14" s="17"/>
      <c r="E14" s="17"/>
      <c r="F14" s="17">
        <v>11662</v>
      </c>
      <c r="G14" s="17">
        <v>-5258</v>
      </c>
      <c r="H14" s="17">
        <v>-9055</v>
      </c>
      <c r="I14" s="17">
        <f>F14+G14</f>
        <v>6404</v>
      </c>
      <c r="J14" s="17">
        <f>AVERAGE(I11:I14)</f>
        <v>6442</v>
      </c>
      <c r="K14" s="17">
        <f>-H14+K13</f>
        <v>-2072</v>
      </c>
    </row>
    <row r="15" ht="20.05" customHeight="1">
      <c r="B15" s="30"/>
      <c r="C15" s="16">
        <v>38839</v>
      </c>
      <c r="D15" s="17"/>
      <c r="E15" s="17"/>
      <c r="F15" s="17">
        <v>1238</v>
      </c>
      <c r="G15" s="17">
        <v>-1469</v>
      </c>
      <c r="H15" s="17">
        <v>-2567</v>
      </c>
      <c r="I15" s="17">
        <f>F15+G15</f>
        <v>-231</v>
      </c>
      <c r="J15" s="17">
        <f>AVERAGE(I12:I15)</f>
        <v>-73.75</v>
      </c>
      <c r="K15" s="17">
        <f>-H15+K14</f>
        <v>495</v>
      </c>
    </row>
    <row r="16" ht="20.05" customHeight="1">
      <c r="B16" s="33">
        <v>2018</v>
      </c>
      <c r="C16" s="16">
        <v>43694</v>
      </c>
      <c r="D16" s="17"/>
      <c r="E16" s="17"/>
      <c r="F16" s="17">
        <v>-10929</v>
      </c>
      <c r="G16" s="17">
        <v>-4917</v>
      </c>
      <c r="H16" s="17">
        <v>5075</v>
      </c>
      <c r="I16" s="17">
        <f>F16+G16</f>
        <v>-15846</v>
      </c>
      <c r="J16" s="17">
        <f>AVERAGE(I13:I16)</f>
        <v>-2958</v>
      </c>
      <c r="K16" s="17">
        <f>-H16+K15</f>
        <v>-4580</v>
      </c>
    </row>
    <row r="17" ht="20.05" customHeight="1">
      <c r="B17" s="30"/>
      <c r="C17" s="16">
        <v>36598</v>
      </c>
      <c r="D17" s="17"/>
      <c r="E17" s="17"/>
      <c r="F17" s="17">
        <v>-16454</v>
      </c>
      <c r="G17" s="17">
        <v>173</v>
      </c>
      <c r="H17" s="17">
        <v>18121</v>
      </c>
      <c r="I17" s="17">
        <f>F17+G17</f>
        <v>-16281</v>
      </c>
      <c r="J17" s="17">
        <f>AVERAGE(I14:I17)</f>
        <v>-6488.5</v>
      </c>
      <c r="K17" s="17">
        <f>-H17+K16</f>
        <v>-22701</v>
      </c>
    </row>
    <row r="18" ht="20.05" customHeight="1">
      <c r="B18" s="30"/>
      <c r="C18" s="16">
        <v>35813</v>
      </c>
      <c r="D18" s="17"/>
      <c r="E18" s="17"/>
      <c r="F18" s="17">
        <v>20923</v>
      </c>
      <c r="G18" s="17">
        <v>-3593</v>
      </c>
      <c r="H18" s="17">
        <v>-19225</v>
      </c>
      <c r="I18" s="17">
        <f>F18+G18</f>
        <v>17330</v>
      </c>
      <c r="J18" s="17">
        <f>AVERAGE(I15:I18)</f>
        <v>-3757</v>
      </c>
      <c r="K18" s="17">
        <f>-H18+K17</f>
        <v>-3476</v>
      </c>
    </row>
    <row r="19" ht="20.05" customHeight="1">
      <c r="B19" s="30"/>
      <c r="C19" s="16">
        <v>44008</v>
      </c>
      <c r="D19" s="17"/>
      <c r="E19" s="17"/>
      <c r="F19" s="17">
        <v>-25502</v>
      </c>
      <c r="G19" s="17">
        <v>-12704</v>
      </c>
      <c r="H19" s="17">
        <v>13180</v>
      </c>
      <c r="I19" s="17">
        <f>F19+G19</f>
        <v>-38206</v>
      </c>
      <c r="J19" s="17">
        <f>AVERAGE(I16:I19)</f>
        <v>-13250.75</v>
      </c>
      <c r="K19" s="17">
        <f>-H19+K18</f>
        <v>-16656</v>
      </c>
    </row>
    <row r="20" ht="20.05" customHeight="1">
      <c r="B20" s="33">
        <v>2019</v>
      </c>
      <c r="C20" s="16">
        <v>60254</v>
      </c>
      <c r="D20" s="17">
        <v>2791.5</v>
      </c>
      <c r="E20" s="17">
        <v>-921.5</v>
      </c>
      <c r="F20" s="17">
        <v>21810</v>
      </c>
      <c r="G20" s="17">
        <v>-6636</v>
      </c>
      <c r="H20" s="17">
        <v>-1713</v>
      </c>
      <c r="I20" s="17">
        <f>D20+E20</f>
        <v>1870</v>
      </c>
      <c r="J20" s="17">
        <f>AVERAGE(I17:I20)</f>
        <v>-8821.75</v>
      </c>
      <c r="K20" s="17">
        <f>-H20+K19</f>
        <v>-14943</v>
      </c>
    </row>
    <row r="21" ht="20.05" customHeight="1">
      <c r="B21" s="30"/>
      <c r="C21" s="16">
        <v>48222</v>
      </c>
      <c r="D21" s="17">
        <v>11798.4</v>
      </c>
      <c r="E21" s="17">
        <v>-921.5</v>
      </c>
      <c r="F21" s="17">
        <v>-20042</v>
      </c>
      <c r="G21" s="17">
        <v>1791</v>
      </c>
      <c r="H21" s="17">
        <v>9388</v>
      </c>
      <c r="I21" s="17">
        <f>D21+E21</f>
        <v>10876.9</v>
      </c>
      <c r="J21" s="17">
        <f>AVERAGE(I18:I21)</f>
        <v>-2032.275</v>
      </c>
      <c r="K21" s="17">
        <f>-H21+K20</f>
        <v>-24331</v>
      </c>
    </row>
    <row r="22" ht="20.05" customHeight="1">
      <c r="B22" s="30"/>
      <c r="C22" s="16">
        <v>60073</v>
      </c>
      <c r="D22" s="17">
        <v>14713.3</v>
      </c>
      <c r="E22" s="17">
        <v>-921.5</v>
      </c>
      <c r="F22" s="17">
        <v>53537</v>
      </c>
      <c r="G22" s="17">
        <v>-3836</v>
      </c>
      <c r="H22" s="17">
        <v>-15474</v>
      </c>
      <c r="I22" s="17">
        <f>D22+E22</f>
        <v>13791.8</v>
      </c>
      <c r="J22" s="17">
        <f>AVERAGE(I19:I22)</f>
        <v>-2916.825</v>
      </c>
      <c r="K22" s="17">
        <f>-H22+K21</f>
        <v>-8857</v>
      </c>
    </row>
    <row r="23" ht="20.05" customHeight="1">
      <c r="B23" s="30"/>
      <c r="C23" s="16">
        <v>69490</v>
      </c>
      <c r="D23" s="17">
        <v>4749.1</v>
      </c>
      <c r="E23" s="17">
        <v>-921.5</v>
      </c>
      <c r="F23" s="17">
        <v>-31337</v>
      </c>
      <c r="G23" s="17">
        <v>-7571</v>
      </c>
      <c r="H23" s="17">
        <v>927</v>
      </c>
      <c r="I23" s="17">
        <f>D23+E23</f>
        <v>3827.6</v>
      </c>
      <c r="J23" s="17">
        <f>AVERAGE(I20:I23)</f>
        <v>7591.575</v>
      </c>
      <c r="K23" s="17">
        <f>-H23+K22</f>
        <v>-9784</v>
      </c>
    </row>
    <row r="24" ht="20.05" customHeight="1">
      <c r="B24" s="33">
        <v>2020</v>
      </c>
      <c r="C24" s="16">
        <f>20430+1853+4128+1069+93454+266+3793</f>
        <v>124993</v>
      </c>
      <c r="D24" s="17">
        <v>12267.3</v>
      </c>
      <c r="E24" s="17">
        <v>-569.25</v>
      </c>
      <c r="F24" s="17">
        <v>33602</v>
      </c>
      <c r="G24" s="17">
        <v>-2899</v>
      </c>
      <c r="H24" s="17">
        <v>-14107</v>
      </c>
      <c r="I24" s="17">
        <f>D24+E24</f>
        <v>11698.05</v>
      </c>
      <c r="J24" s="17">
        <f>AVERAGE(I21:I24)</f>
        <v>10048.5875</v>
      </c>
      <c r="K24" s="17">
        <f>-H24+K23</f>
        <v>4323</v>
      </c>
    </row>
    <row r="25" ht="20.05" customHeight="1">
      <c r="B25" s="30"/>
      <c r="C25" s="16">
        <f>39573.4+3536.4+7382.4+116839.9+3004.8+414.1+1771.3-C24</f>
        <v>47529.3</v>
      </c>
      <c r="D25" s="17">
        <v>4249.9</v>
      </c>
      <c r="E25" s="17">
        <v>-569.25</v>
      </c>
      <c r="F25" s="17">
        <v>62730.6</v>
      </c>
      <c r="G25" s="17">
        <v>-14407.67</v>
      </c>
      <c r="H25" s="17">
        <v>9823.809999999999</v>
      </c>
      <c r="I25" s="17">
        <f>D25+E25</f>
        <v>3680.65</v>
      </c>
      <c r="J25" s="17">
        <f>AVERAGE(I22:I25)</f>
        <v>8249.525</v>
      </c>
      <c r="K25" s="17">
        <f>-H25+K24</f>
        <v>-5500.81</v>
      </c>
    </row>
    <row r="26" ht="20.05" customHeight="1">
      <c r="B26" s="30"/>
      <c r="C26" s="16">
        <f>56501+6416+10886+144472+706+3408-SUM(C24:C25)</f>
        <v>49866.7</v>
      </c>
      <c r="D26" s="17">
        <v>5714.8</v>
      </c>
      <c r="E26" s="17">
        <v>-569.25</v>
      </c>
      <c r="F26" s="17">
        <f>92738.9-SUM(F24:F25)</f>
        <v>-3593.7</v>
      </c>
      <c r="G26" s="17">
        <f>-22301-SUM(G24:G25)</f>
        <v>-4994.33</v>
      </c>
      <c r="H26" s="17">
        <f>-10040-SUM(H24:H25)</f>
        <v>-5756.81</v>
      </c>
      <c r="I26" s="17">
        <f>D26+E26</f>
        <v>5145.55</v>
      </c>
      <c r="J26" s="17">
        <f>AVERAGE(I23:I26)</f>
        <v>6087.9625</v>
      </c>
      <c r="K26" s="17">
        <f>-H26+K25</f>
        <v>256</v>
      </c>
    </row>
    <row r="27" ht="20.05" customHeight="1">
      <c r="B27" s="30"/>
      <c r="C27" s="16">
        <v>109755.5</v>
      </c>
      <c r="D27" s="17">
        <v>9802.4</v>
      </c>
      <c r="E27" s="17">
        <v>-569.25</v>
      </c>
      <c r="F27" s="17">
        <v>9321.9</v>
      </c>
      <c r="G27" s="17">
        <v>-11012.4</v>
      </c>
      <c r="H27" s="17">
        <v>-6428.4</v>
      </c>
      <c r="I27" s="17">
        <f>D27+E27</f>
        <v>9233.15</v>
      </c>
      <c r="J27" s="17">
        <f>AVERAGE(I24:I27)</f>
        <v>7439.35</v>
      </c>
      <c r="K27" s="17">
        <f>-H27+K26</f>
        <v>6684.4</v>
      </c>
    </row>
    <row r="28" ht="20.05" customHeight="1">
      <c r="B28" s="33">
        <v>2021</v>
      </c>
      <c r="C28" s="16">
        <f>18918.3+3326+4134.5+63917.5+224.8+1027.3</f>
        <v>91548.399999999994</v>
      </c>
      <c r="D28" s="17">
        <v>29133.9</v>
      </c>
      <c r="E28" s="17">
        <v>-199</v>
      </c>
      <c r="F28" s="17">
        <v>75482.899999999994</v>
      </c>
      <c r="G28" s="17">
        <v>-50970.1</v>
      </c>
      <c r="H28" s="17">
        <f>-837.5</f>
        <v>-837.5</v>
      </c>
      <c r="I28" s="17">
        <f>D28+E28</f>
        <v>28934.9</v>
      </c>
      <c r="J28" s="17">
        <f>AVERAGE(I25:I28)</f>
        <v>11748.5625</v>
      </c>
      <c r="K28" s="17">
        <f>-H28+K27</f>
        <v>7521.9</v>
      </c>
    </row>
    <row r="29" ht="20.05" customHeight="1">
      <c r="B29" s="30"/>
      <c r="C29" s="16">
        <f>37303.9+8577.5+8450.5+1953.3+110900.5+517.3-C28</f>
        <v>76154.600000000006</v>
      </c>
      <c r="D29" s="17">
        <v>-8699.799999999999</v>
      </c>
      <c r="E29" s="17">
        <v>-199</v>
      </c>
      <c r="F29" s="17">
        <f>44405.5-F28</f>
        <v>-31077.4</v>
      </c>
      <c r="G29" s="17">
        <f>-60071.4-G28</f>
        <v>-9101.299999999999</v>
      </c>
      <c r="H29" s="17">
        <f>4870.4-H28</f>
        <v>5707.9</v>
      </c>
      <c r="I29" s="17">
        <f>D29+E29</f>
        <v>-8898.799999999999</v>
      </c>
      <c r="J29" s="17">
        <f>AVERAGE(I26:I29)</f>
        <v>8603.700000000001</v>
      </c>
      <c r="K29" s="17">
        <f>-H29+K28</f>
        <v>1814</v>
      </c>
    </row>
    <row r="30" ht="20.05" customHeight="1">
      <c r="B30" s="30"/>
      <c r="C30" s="16">
        <f>58018.1+10282.9+12749.8+152413.9+860.3-SUM(C28:C29)</f>
        <v>66622</v>
      </c>
      <c r="D30" s="17">
        <f>37985.8-SUM(D28:D29)</f>
        <v>17551.7</v>
      </c>
      <c r="E30" s="17">
        <f>-785.7-SUM(E28:E29)</f>
        <v>-387.7</v>
      </c>
      <c r="F30" s="17">
        <f>112363-SUM(F28:F29)</f>
        <v>67957.5</v>
      </c>
      <c r="G30" s="17">
        <f>-122604.9-SUM(G28:G29)</f>
        <v>-62533.5</v>
      </c>
      <c r="H30" s="17">
        <f>2685-SUM(H28:H29)</f>
        <v>-2185.4</v>
      </c>
      <c r="I30" s="17">
        <f>D30+E30</f>
        <v>17164</v>
      </c>
      <c r="J30" s="17">
        <f>AVERAGE(I27:I30)</f>
        <v>11608.3125</v>
      </c>
      <c r="K30" s="17">
        <f>-H30+K29</f>
        <v>3999.4</v>
      </c>
    </row>
    <row r="31" ht="20.05" customHeight="1">
      <c r="B31" s="30"/>
      <c r="C31" s="16"/>
      <c r="D31" s="17"/>
      <c r="E31" s="17"/>
      <c r="F31" s="17"/>
      <c r="G31" s="17"/>
      <c r="H31" s="17"/>
      <c r="I31" s="17"/>
      <c r="J31" s="17">
        <f>SUM('Model'!F8:F9)</f>
        <v>14324.48894912</v>
      </c>
      <c r="K31" s="17">
        <f>'Model'!F30</f>
        <v>13934.896263136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40" customWidth="1"/>
    <col min="2" max="5" width="9.61719" style="40" customWidth="1"/>
    <col min="6" max="11" width="10.5938" style="40" customWidth="1"/>
    <col min="12" max="16384" width="16.3516" style="40" customWidth="1"/>
  </cols>
  <sheetData>
    <row r="1" ht="16.3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4">
        <v>1</v>
      </c>
      <c r="C3" t="s" s="4">
        <v>55</v>
      </c>
      <c r="D3" t="s" s="4">
        <v>56</v>
      </c>
      <c r="E3" t="s" s="4">
        <v>57</v>
      </c>
      <c r="F3" t="s" s="4">
        <v>58</v>
      </c>
      <c r="G3" t="s" s="4">
        <v>24</v>
      </c>
      <c r="H3" t="s" s="4">
        <v>25</v>
      </c>
      <c r="I3" t="s" s="4">
        <v>59</v>
      </c>
      <c r="J3" t="s" s="4">
        <v>60</v>
      </c>
      <c r="K3" t="s" s="4">
        <v>61</v>
      </c>
    </row>
    <row r="4" ht="21.1" customHeight="1">
      <c r="B4" s="25">
        <v>2015</v>
      </c>
      <c r="C4" s="37">
        <v>16756</v>
      </c>
      <c r="D4" s="38">
        <v>868348</v>
      </c>
      <c r="E4" s="38">
        <f>D4-C4</f>
        <v>851592</v>
      </c>
      <c r="F4" s="38">
        <f>261+1641+6822+3+260+22+206+18012+42+1653+172+84+3</f>
        <v>29181</v>
      </c>
      <c r="G4" s="38">
        <v>763557</v>
      </c>
      <c r="H4" s="38">
        <v>104791</v>
      </c>
      <c r="I4" s="38">
        <f>G4+H4-C4-E4</f>
        <v>0</v>
      </c>
      <c r="J4" s="41"/>
      <c r="K4" s="41"/>
    </row>
    <row r="5" ht="21.1" customHeight="1">
      <c r="B5" s="30"/>
      <c r="C5" s="16">
        <v>19524</v>
      </c>
      <c r="D5" s="17">
        <v>914075</v>
      </c>
      <c r="E5" s="17">
        <f>D5-C5</f>
        <v>894551</v>
      </c>
      <c r="F5" s="17">
        <f>256+1712+7166+3+299+12+226+18269+42+1724+414+88+3</f>
        <v>30214</v>
      </c>
      <c r="G5" s="17">
        <v>804813</v>
      </c>
      <c r="H5" s="17">
        <v>109262</v>
      </c>
      <c r="I5" s="17">
        <f>G5+H5-C5-E5</f>
        <v>0</v>
      </c>
      <c r="J5" s="42">
        <f>E5/E4-1</f>
        <v>0.0504455185112119</v>
      </c>
      <c r="K5" s="42">
        <f>G5/G4-1</f>
        <v>0.0540313296846208</v>
      </c>
    </row>
    <row r="6" ht="21.1" customHeight="1">
      <c r="B6" s="30"/>
      <c r="C6" s="16">
        <v>19062</v>
      </c>
      <c r="D6" s="17">
        <v>905759</v>
      </c>
      <c r="E6" s="17">
        <f>D6-C6</f>
        <v>886697</v>
      </c>
      <c r="F6" s="17">
        <f>257+1786+7415+3+274+7+251+21192+1856+691+87+4</f>
        <v>33823</v>
      </c>
      <c r="G6" s="17">
        <v>792622</v>
      </c>
      <c r="H6" s="17">
        <v>113137</v>
      </c>
      <c r="I6" s="17">
        <f>G6+H6-C6-E6</f>
        <v>0</v>
      </c>
      <c r="J6" s="42">
        <f>E6/E5-1</f>
        <v>-0.008779823621012111</v>
      </c>
      <c r="K6" s="42">
        <f>G6/G5-1</f>
        <v>-0.0151476181423511</v>
      </c>
    </row>
    <row r="7" ht="21.1" customHeight="1">
      <c r="B7" s="30"/>
      <c r="C7" s="16">
        <v>25109</v>
      </c>
      <c r="D7" s="17">
        <v>910063</v>
      </c>
      <c r="E7" s="17">
        <f>D7-C7</f>
        <v>884954</v>
      </c>
      <c r="F7" s="17">
        <f>432+1878+7708+10+107+6+271+22282+1728+662+67+3</f>
        <v>35154</v>
      </c>
      <c r="G7" s="17">
        <v>790571</v>
      </c>
      <c r="H7" s="17">
        <v>119492</v>
      </c>
      <c r="I7" s="17">
        <f>G7+H7-C7-E7</f>
        <v>0</v>
      </c>
      <c r="J7" s="42">
        <f>E7/E6-1</f>
        <v>-0.00196572222529229</v>
      </c>
      <c r="K7" s="42">
        <f>G7/G6-1</f>
        <v>-0.00258761427262932</v>
      </c>
    </row>
    <row r="8" ht="21.1" customHeight="1">
      <c r="B8" s="33">
        <v>2016</v>
      </c>
      <c r="C8" s="16">
        <v>18440</v>
      </c>
      <c r="D8" s="17">
        <v>906739</v>
      </c>
      <c r="E8" s="17">
        <f>D8-C8</f>
        <v>888299</v>
      </c>
      <c r="F8" s="17">
        <f>429+1967+8033+10+233+8+306+23785+1756+251+72+4</f>
        <v>36854</v>
      </c>
      <c r="G8" s="17">
        <v>788692</v>
      </c>
      <c r="H8" s="17">
        <v>118047</v>
      </c>
      <c r="I8" s="17">
        <f>G8+H8-C8-E8</f>
        <v>0</v>
      </c>
      <c r="J8" s="42">
        <f>E8/E7-1</f>
        <v>0.00377985748411782</v>
      </c>
      <c r="K8" s="42">
        <f>G8/G7-1</f>
        <v>-0.00237676312437466</v>
      </c>
    </row>
    <row r="9" ht="20.9" customHeight="1">
      <c r="B9" s="30"/>
      <c r="C9" s="16">
        <v>23550</v>
      </c>
      <c r="D9" s="17">
        <v>971444</v>
      </c>
      <c r="E9" s="17">
        <f>D9-C9</f>
        <v>947894</v>
      </c>
      <c r="F9" s="17">
        <f>424+2058+8373+10+13+307+26256+1809+70+84+3</f>
        <v>39407</v>
      </c>
      <c r="G9" s="17">
        <v>824355</v>
      </c>
      <c r="H9" s="17">
        <v>147089</v>
      </c>
      <c r="I9" s="17">
        <f>G9+H9-C9-E9</f>
        <v>0</v>
      </c>
      <c r="J9" s="42">
        <f>E9/E8-1</f>
        <v>0.0670888968691848</v>
      </c>
      <c r="K9" s="42">
        <f>G9/G8-1</f>
        <v>0.0452179050884249</v>
      </c>
    </row>
    <row r="10" ht="20.9" customHeight="1">
      <c r="B10" s="30"/>
      <c r="C10" s="16">
        <v>20126</v>
      </c>
      <c r="D10" s="17">
        <v>975163</v>
      </c>
      <c r="E10" s="17">
        <f>D10-C10</f>
        <v>955037</v>
      </c>
      <c r="F10" s="17">
        <f>421+2154+8723+10+153+4+295+29793+1804-39+68+3</f>
        <v>43389</v>
      </c>
      <c r="G10" s="17">
        <v>822377</v>
      </c>
      <c r="H10" s="17">
        <v>152786</v>
      </c>
      <c r="I10" s="17">
        <f>G10+H10-C10-E10</f>
        <v>0</v>
      </c>
      <c r="J10" s="42">
        <f>E10/E9-1</f>
        <v>0.00753565272066286</v>
      </c>
      <c r="K10" s="42">
        <f>G10/G9-1</f>
        <v>-0.00239945169253538</v>
      </c>
    </row>
    <row r="11" ht="20.9" customHeight="1">
      <c r="B11" s="30"/>
      <c r="C11" s="16">
        <v>22907</v>
      </c>
      <c r="D11" s="17">
        <v>1038706</v>
      </c>
      <c r="E11" s="17">
        <f>D11-C11</f>
        <v>1015799</v>
      </c>
      <c r="F11" s="17">
        <f>514+2258+9074+10+241+5+323+32617+1757+271+83+3</f>
        <v>47156</v>
      </c>
      <c r="G11" s="17">
        <v>885336</v>
      </c>
      <c r="H11" s="17">
        <v>153370</v>
      </c>
      <c r="I11" s="17">
        <f>G11+H11-C11-E11</f>
        <v>0</v>
      </c>
      <c r="J11" s="42">
        <f>E11/E10-1</f>
        <v>0.06362266592812631</v>
      </c>
      <c r="K11" s="42">
        <f>G11/G10-1</f>
        <v>0.0765573453537733</v>
      </c>
    </row>
    <row r="12" ht="20.9" customHeight="1">
      <c r="B12" s="33">
        <v>2017</v>
      </c>
      <c r="C12" s="16">
        <v>21213</v>
      </c>
      <c r="D12" s="17">
        <v>1034307</v>
      </c>
      <c r="E12" s="17">
        <f>D12-C12</f>
        <v>1013094</v>
      </c>
      <c r="F12" s="17">
        <f>584+2372+9437+10+154+6+330+34418+1439+7+47+3</f>
        <v>48807</v>
      </c>
      <c r="G12" s="17">
        <v>882482</v>
      </c>
      <c r="H12" s="17">
        <v>151825</v>
      </c>
      <c r="I12" s="17">
        <f>G12+H12-C12-E12</f>
        <v>0</v>
      </c>
      <c r="J12" s="42">
        <f>E12/E11-1</f>
        <v>-0.00266292839429848</v>
      </c>
      <c r="K12" s="42">
        <f>G12/G11-1</f>
        <v>-0.00322363486856967</v>
      </c>
    </row>
    <row r="13" ht="20.9" customHeight="1">
      <c r="B13" s="30"/>
      <c r="C13" s="16">
        <v>33494</v>
      </c>
      <c r="D13" s="17">
        <v>1067411</v>
      </c>
      <c r="E13" s="17">
        <f>D13-C13</f>
        <v>1033917</v>
      </c>
      <c r="F13" s="17">
        <f>606+2481+9782+10+231+9+363+34590+1446-56+52+3</f>
        <v>49517</v>
      </c>
      <c r="G13" s="17">
        <v>909966</v>
      </c>
      <c r="H13" s="17">
        <v>157445</v>
      </c>
      <c r="I13" s="17">
        <f>G13+H13-C13-E13</f>
        <v>0</v>
      </c>
      <c r="J13" s="42">
        <f>E13/E12-1</f>
        <v>0.0205538676569005</v>
      </c>
      <c r="K13" s="42">
        <f>G13/G12-1</f>
        <v>0.0311439780074834</v>
      </c>
    </row>
    <row r="14" ht="20.9" customHeight="1">
      <c r="B14" s="30"/>
      <c r="C14" s="16">
        <v>21027</v>
      </c>
      <c r="D14" s="17">
        <v>1078703</v>
      </c>
      <c r="E14" s="17">
        <f>D14-C14</f>
        <v>1057676</v>
      </c>
      <c r="F14" s="17">
        <f>622+2589+10102+11+186+10+367+34318+1499-100+49+3</f>
        <v>49656</v>
      </c>
      <c r="G14" s="17">
        <v>914812</v>
      </c>
      <c r="H14" s="17">
        <v>163891</v>
      </c>
      <c r="I14" s="17">
        <f>G14+H14-C14-E14</f>
        <v>0</v>
      </c>
      <c r="J14" s="42">
        <f>E14/E13-1</f>
        <v>0.022979600877053</v>
      </c>
      <c r="K14" s="42">
        <f>G14/G13-1</f>
        <v>0.00532547369901733</v>
      </c>
    </row>
    <row r="15" ht="20.9" customHeight="1">
      <c r="B15" s="30"/>
      <c r="C15" s="16">
        <v>24269</v>
      </c>
      <c r="D15" s="17">
        <v>1124701</v>
      </c>
      <c r="E15" s="17">
        <f>D15-C15</f>
        <v>1100432</v>
      </c>
      <c r="F15" s="17">
        <f>618+2701+10373+13+254+8+363+33745+1349-78+50+3</f>
        <v>49399</v>
      </c>
      <c r="G15" s="17">
        <v>954695</v>
      </c>
      <c r="H15" s="17">
        <v>170006</v>
      </c>
      <c r="I15" s="17">
        <f>G15+H15-C15-E15</f>
        <v>0</v>
      </c>
      <c r="J15" s="42">
        <f>E15/E14-1</f>
        <v>0.0404244778174034</v>
      </c>
      <c r="K15" s="42">
        <f>G15/G14-1</f>
        <v>0.0435969357638509</v>
      </c>
    </row>
    <row r="16" ht="20.9" customHeight="1">
      <c r="B16" s="33">
        <v>2018</v>
      </c>
      <c r="C16" s="16">
        <v>21029</v>
      </c>
      <c r="D16" s="17">
        <v>1098158</v>
      </c>
      <c r="E16" s="17">
        <f>D16-C16</f>
        <v>1077129</v>
      </c>
      <c r="F16" s="17">
        <f>672+2810+10704+30+158+7+399+31316+1448+83+52+4</f>
        <v>47683</v>
      </c>
      <c r="G16" s="17">
        <v>932959</v>
      </c>
      <c r="H16" s="17">
        <v>165199</v>
      </c>
      <c r="I16" s="17">
        <f>G16+H16-C16-E16</f>
        <v>0</v>
      </c>
      <c r="J16" s="42">
        <f>E16/E15-1</f>
        <v>-0.0211762289718947</v>
      </c>
      <c r="K16" s="42">
        <f>G16/G15-1</f>
        <v>-0.0227674807137358</v>
      </c>
    </row>
    <row r="17" ht="20.9" customHeight="1">
      <c r="B17" s="30"/>
      <c r="C17" s="16">
        <v>28008</v>
      </c>
      <c r="D17" s="17">
        <v>1155548</v>
      </c>
      <c r="E17" s="17">
        <f>D17-C17</f>
        <v>1127540</v>
      </c>
      <c r="F17" s="17">
        <f>770+2929+11030+30+185+8+403+31995+1419+131+51+11</f>
        <v>48962</v>
      </c>
      <c r="G17" s="17">
        <v>985506</v>
      </c>
      <c r="H17" s="17">
        <v>170042</v>
      </c>
      <c r="I17" s="17">
        <f>G17+H17-C17-E17</f>
        <v>0</v>
      </c>
      <c r="J17" s="42">
        <f>E17/E16-1</f>
        <v>0.0468012652152156</v>
      </c>
      <c r="K17" s="42">
        <f>G17/G16-1</f>
        <v>0.0563229466675384</v>
      </c>
    </row>
    <row r="18" ht="20.9" customHeight="1">
      <c r="B18" s="30"/>
      <c r="C18" s="16">
        <v>21945</v>
      </c>
      <c r="D18" s="17">
        <v>1173645</v>
      </c>
      <c r="E18" s="17">
        <f>D18-C18</f>
        <v>1151700</v>
      </c>
      <c r="F18" s="17">
        <f>898+3053+11341+30+250+9+380+31726+1563+160+53+6</f>
        <v>49469</v>
      </c>
      <c r="G18" s="17">
        <v>997368</v>
      </c>
      <c r="H18" s="17">
        <v>176277</v>
      </c>
      <c r="I18" s="17">
        <f>G18+H18-C18-E18</f>
        <v>0</v>
      </c>
      <c r="J18" s="42">
        <f>E18/E17-1</f>
        <v>0.0214271777497916</v>
      </c>
      <c r="K18" s="42">
        <f>G18/G17-1</f>
        <v>0.0120364563990478</v>
      </c>
    </row>
    <row r="19" ht="20.9" customHeight="1">
      <c r="B19" s="30"/>
      <c r="C19" s="16">
        <v>27349</v>
      </c>
      <c r="D19" s="17">
        <v>1202252</v>
      </c>
      <c r="E19" s="17">
        <f>D19-C19</f>
        <v>1174903</v>
      </c>
      <c r="F19" s="17">
        <f>5+50+297+1604+31796+371+9+296+31+11633+3199+599</f>
        <v>49890</v>
      </c>
      <c r="G19" s="17">
        <v>1017292</v>
      </c>
      <c r="H19" s="17">
        <v>184960</v>
      </c>
      <c r="I19" s="17">
        <f>G19+H19-C19-E19</f>
        <v>0</v>
      </c>
      <c r="J19" s="42">
        <f>E19/E18-1</f>
        <v>0.020146739602327</v>
      </c>
      <c r="K19" s="42">
        <f>G19/G18-1</f>
        <v>0.0199765783542283</v>
      </c>
    </row>
    <row r="20" ht="20.9" customHeight="1">
      <c r="B20" s="33">
        <v>2019</v>
      </c>
      <c r="C20" s="16">
        <v>21658</v>
      </c>
      <c r="D20" s="17">
        <v>1205972</v>
      </c>
      <c r="E20" s="17">
        <f>D20-C20</f>
        <v>1184314</v>
      </c>
      <c r="F20" s="17">
        <f>911+3334+11978+31+240+9+393+30397+1636+67+49+22</f>
        <v>49067</v>
      </c>
      <c r="G20" s="17">
        <v>1012307</v>
      </c>
      <c r="H20" s="17">
        <v>193665</v>
      </c>
      <c r="I20" s="17">
        <f>G20+H20-C20-E20</f>
        <v>0</v>
      </c>
      <c r="J20" s="42">
        <f>E20/E19-1</f>
        <v>0.00801002295508651</v>
      </c>
      <c r="K20" s="42">
        <f>G20/G19-1</f>
        <v>-0.00490026462411972</v>
      </c>
    </row>
    <row r="21" ht="20.9" customHeight="1">
      <c r="B21" s="30"/>
      <c r="C21" s="16">
        <v>24650</v>
      </c>
      <c r="D21" s="17">
        <v>1235628</v>
      </c>
      <c r="E21" s="17">
        <f>D21-C21</f>
        <v>1210978</v>
      </c>
      <c r="F21" s="17">
        <f>970+3479+12346+56+150+5+382+31338+1495-36+49+13</f>
        <v>50247</v>
      </c>
      <c r="G21" s="17">
        <v>1045939</v>
      </c>
      <c r="H21" s="17">
        <v>189689</v>
      </c>
      <c r="I21" s="17">
        <f>G21+H21-C21-E21</f>
        <v>0</v>
      </c>
      <c r="J21" s="42">
        <f>E21/E20-1</f>
        <v>0.0225142994172154</v>
      </c>
      <c r="K21" s="42">
        <f>G21/G20-1</f>
        <v>0.0332231230249322</v>
      </c>
    </row>
    <row r="22" ht="20.9" customHeight="1">
      <c r="B22" s="30"/>
      <c r="C22" s="16">
        <v>23044</v>
      </c>
      <c r="D22" s="17">
        <v>1275670</v>
      </c>
      <c r="E22" s="17">
        <f>D22-C22</f>
        <v>1252626</v>
      </c>
      <c r="F22" s="17">
        <f>794+3639+12689+56+577+6+393+31990+1401-127+48+5</f>
        <v>51471</v>
      </c>
      <c r="G22" s="17">
        <v>1074842</v>
      </c>
      <c r="H22" s="17">
        <v>200828</v>
      </c>
      <c r="I22" s="17">
        <f>G22+H22-C22-E22</f>
        <v>0</v>
      </c>
      <c r="J22" s="42">
        <f>E22/E21-1</f>
        <v>0.0343920368495547</v>
      </c>
      <c r="K22" s="42">
        <f>G22/G21-1</f>
        <v>0.0276335426826995</v>
      </c>
    </row>
    <row r="23" ht="20.9" customHeight="1">
      <c r="B23" s="30"/>
      <c r="C23" s="16">
        <v>28094</v>
      </c>
      <c r="D23" s="17">
        <v>1318246</v>
      </c>
      <c r="E23" s="17">
        <f>D23-C23</f>
        <v>1290152</v>
      </c>
      <c r="F23" s="17">
        <f>623+3794+13045+13+222+7982+355+29988+1312-96+48+5</f>
        <v>57291</v>
      </c>
      <c r="G23" s="17">
        <v>1109212</v>
      </c>
      <c r="H23" s="17">
        <v>209034</v>
      </c>
      <c r="I23" s="17">
        <f>G23+H23-C23-E23</f>
        <v>0</v>
      </c>
      <c r="J23" s="42">
        <f>E23/E22-1</f>
        <v>0.0299578645182201</v>
      </c>
      <c r="K23" s="42">
        <f>G23/G22-1</f>
        <v>0.0319767928681611</v>
      </c>
    </row>
    <row r="24" ht="20.9" customHeight="1">
      <c r="B24" s="33">
        <v>2020</v>
      </c>
      <c r="C24" s="16">
        <v>24909</v>
      </c>
      <c r="D24" s="17">
        <v>1320038</v>
      </c>
      <c r="E24" s="17">
        <f>D24-C24</f>
        <v>1295129</v>
      </c>
      <c r="F24" s="17">
        <f>653+3958+13764+5+257+69+353+53872+1532+268+57+11</f>
        <v>74799</v>
      </c>
      <c r="G24" s="17">
        <v>1142597</v>
      </c>
      <c r="H24" s="17">
        <v>177441</v>
      </c>
      <c r="I24" s="17">
        <f>G24+H24-C24-E24</f>
        <v>0</v>
      </c>
      <c r="J24" s="42">
        <f>E24/E23-1</f>
        <v>0.00385768498595514</v>
      </c>
      <c r="K24" s="42">
        <f>G24/G23-1</f>
        <v>0.0300979434048676</v>
      </c>
    </row>
    <row r="25" ht="20.9" customHeight="1">
      <c r="B25" s="30"/>
      <c r="C25" s="16">
        <v>20310</v>
      </c>
      <c r="D25" s="17">
        <v>1359441</v>
      </c>
      <c r="E25" s="17">
        <f>D25-C25</f>
        <v>1339131</v>
      </c>
      <c r="F25" s="17">
        <f>637+4128+14418+15+246+42+489+55183+1419-99+50+10</f>
        <v>76538</v>
      </c>
      <c r="G25" s="17">
        <v>1176122</v>
      </c>
      <c r="H25" s="17">
        <v>183319</v>
      </c>
      <c r="I25" s="17">
        <f>G25+H25-C25-E25</f>
        <v>0</v>
      </c>
      <c r="J25" s="42">
        <f>E25/E24-1</f>
        <v>0.033974993996737</v>
      </c>
      <c r="K25" s="42">
        <f>G25/G24-1</f>
        <v>0.0293410537573615</v>
      </c>
    </row>
    <row r="26" ht="20.9" customHeight="1">
      <c r="B26" s="30"/>
      <c r="C26" s="16">
        <v>16628</v>
      </c>
      <c r="D26" s="17">
        <v>1406655</v>
      </c>
      <c r="E26" s="17">
        <f>D26-C26</f>
        <v>1390027</v>
      </c>
      <c r="F26" s="17">
        <f>586+4306+15117+15+119+40+392+58880+1502+47+38+-310</f>
        <v>80732</v>
      </c>
      <c r="G26" s="17">
        <v>1217319</v>
      </c>
      <c r="H26" s="17">
        <v>189336</v>
      </c>
      <c r="I26" s="17">
        <f>G26+H26-C26-E26</f>
        <v>0</v>
      </c>
      <c r="J26" s="42">
        <f>E26/E25-1</f>
        <v>0.0380067372049486</v>
      </c>
      <c r="K26" s="42">
        <f>G26/G25-1</f>
        <v>0.0350278287456573</v>
      </c>
    </row>
    <row r="27" ht="20.9" customHeight="1">
      <c r="B27" s="30"/>
      <c r="C27" s="16">
        <v>24683</v>
      </c>
      <c r="D27" s="17">
        <v>1429334</v>
      </c>
      <c r="E27" s="17">
        <f>D27-C27</f>
        <v>1404651</v>
      </c>
      <c r="F27" s="17">
        <f>721+4637+15278+15+123+59+428+62271+1688+47+71-341</f>
        <v>84997</v>
      </c>
      <c r="G27" s="17">
        <v>1235538</v>
      </c>
      <c r="H27" s="17">
        <v>193796</v>
      </c>
      <c r="I27" s="17">
        <f>G27+H27-C27-E27</f>
        <v>0</v>
      </c>
      <c r="J27" s="42">
        <f>E27/E26-1</f>
        <v>0.010520658951229</v>
      </c>
      <c r="K27" s="42">
        <f>G27/G26-1</f>
        <v>0.0149664960458187</v>
      </c>
    </row>
    <row r="28" ht="20.9" customHeight="1">
      <c r="B28" s="33">
        <v>2021</v>
      </c>
      <c r="C28" s="16">
        <v>19169</v>
      </c>
      <c r="D28" s="17">
        <v>1584067</v>
      </c>
      <c r="E28" s="17">
        <f>D28-C28</f>
        <v>1564898</v>
      </c>
      <c r="F28" s="17">
        <f>16390+4928+1730+15+127+79+470+67269+1391+48+39</f>
        <v>92486</v>
      </c>
      <c r="G28" s="17">
        <f>1235234+151310</f>
        <v>1386544</v>
      </c>
      <c r="H28" s="17">
        <v>197523</v>
      </c>
      <c r="I28" s="17">
        <f>G28+H28-C28-E28</f>
        <v>0</v>
      </c>
      <c r="J28" s="42">
        <f>E28/E27-1</f>
        <v>0.114083142360629</v>
      </c>
      <c r="K28" s="42">
        <f>G28/G27-1</f>
        <v>0.122218822893347</v>
      </c>
    </row>
    <row r="29" ht="20.9" customHeight="1">
      <c r="B29" s="30"/>
      <c r="C29" s="16">
        <v>20913</v>
      </c>
      <c r="D29" s="17">
        <v>1580527</v>
      </c>
      <c r="E29" s="17">
        <f>D29-C29</f>
        <v>1559614</v>
      </c>
      <c r="F29" s="17">
        <f>15+17027+5131+2113+161+85+494+68021+1400+3+49</f>
        <v>94499</v>
      </c>
      <c r="G29" s="17">
        <f>1210603+164793</f>
        <v>1375396</v>
      </c>
      <c r="H29" s="17">
        <v>205131</v>
      </c>
      <c r="I29" s="17">
        <f>G29+H29-C29-E29</f>
        <v>0</v>
      </c>
      <c r="J29" s="42">
        <f>E29/E28-1</f>
        <v>-0.00337657789836782</v>
      </c>
      <c r="K29" s="42">
        <f>G29/G28-1</f>
        <v>-0.00804013431957442</v>
      </c>
    </row>
    <row r="30" ht="20.9" customHeight="1">
      <c r="B30" s="30"/>
      <c r="C30" s="16">
        <v>20600</v>
      </c>
      <c r="D30" s="17">
        <v>1637950</v>
      </c>
      <c r="E30" s="17">
        <f>D30-C30</f>
        <v>1617350</v>
      </c>
      <c r="F30" s="17">
        <f>17665+5325+1957+15+103+85+492+68528+1398+2+23</f>
        <v>95593</v>
      </c>
      <c r="G30" s="17">
        <f>1256789+168336</f>
        <v>1425125</v>
      </c>
      <c r="H30" s="17">
        <v>212825</v>
      </c>
      <c r="I30" s="17">
        <f>G30+H30-C30-E30</f>
        <v>0</v>
      </c>
      <c r="J30" s="42">
        <f>E30/E29-1</f>
        <v>0.0370194163427617</v>
      </c>
      <c r="K30" s="42">
        <f>G30/G29-1</f>
        <v>0.0361561324883888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43" customWidth="1"/>
    <col min="2" max="2" width="6.86719" style="43" customWidth="1"/>
    <col min="3" max="4" width="8.32031" style="43" customWidth="1"/>
    <col min="5" max="16384" width="16.3516" style="43" customWidth="1"/>
  </cols>
  <sheetData>
    <row r="1" ht="7.3" customHeight="1"/>
    <row r="2" ht="27.65" customHeight="1">
      <c r="B2" t="s" s="2">
        <v>62</v>
      </c>
      <c r="C2" s="2"/>
      <c r="D2" s="2"/>
    </row>
    <row r="3" ht="20.25" customHeight="1">
      <c r="B3" s="5"/>
      <c r="C3" t="s" s="44">
        <v>63</v>
      </c>
      <c r="D3" t="s" s="44">
        <v>36</v>
      </c>
    </row>
    <row r="4" ht="20.25" customHeight="1">
      <c r="B4" s="25">
        <v>2014</v>
      </c>
      <c r="C4" s="37">
        <v>4350</v>
      </c>
      <c r="D4" s="45"/>
    </row>
    <row r="5" ht="20.05" customHeight="1">
      <c r="B5" s="30"/>
      <c r="C5" s="16">
        <v>4550</v>
      </c>
      <c r="D5" s="46"/>
    </row>
    <row r="6" ht="20.05" customHeight="1">
      <c r="B6" s="30"/>
      <c r="C6" s="16">
        <v>4725</v>
      </c>
      <c r="D6" s="46"/>
    </row>
    <row r="7" ht="20.05" customHeight="1">
      <c r="B7" s="30"/>
      <c r="C7" s="16">
        <v>4912</v>
      </c>
      <c r="D7" s="46"/>
    </row>
    <row r="8" ht="20.05" customHeight="1">
      <c r="B8" s="30"/>
      <c r="C8" s="16">
        <v>5088</v>
      </c>
      <c r="D8" s="46"/>
    </row>
    <row r="9" ht="20.05" customHeight="1">
      <c r="B9" s="30"/>
      <c r="C9" s="16">
        <v>4862</v>
      </c>
      <c r="D9" s="46"/>
    </row>
    <row r="10" ht="20.05" customHeight="1">
      <c r="B10" s="30"/>
      <c r="C10" s="16">
        <v>5125</v>
      </c>
      <c r="D10" s="46"/>
    </row>
    <row r="11" ht="20.05" customHeight="1">
      <c r="B11" s="30"/>
      <c r="C11" s="16">
        <v>5188</v>
      </c>
      <c r="D11" s="46"/>
    </row>
    <row r="12" ht="20.05" customHeight="1">
      <c r="B12" s="30"/>
      <c r="C12" s="16">
        <v>5038</v>
      </c>
      <c r="D12" s="46"/>
    </row>
    <row r="13" ht="20.05" customHeight="1">
      <c r="B13" s="30"/>
      <c r="C13" s="16">
        <v>5175</v>
      </c>
      <c r="D13" s="46"/>
    </row>
    <row r="14" ht="20.05" customHeight="1">
      <c r="B14" s="30"/>
      <c r="C14" s="16">
        <v>5262</v>
      </c>
      <c r="D14" s="46"/>
    </row>
    <row r="15" ht="20.05" customHeight="1">
      <c r="B15" s="30"/>
      <c r="C15" s="16">
        <v>5388</v>
      </c>
      <c r="D15" s="46"/>
    </row>
    <row r="16" ht="20.05" customHeight="1">
      <c r="B16" s="33">
        <v>2015</v>
      </c>
      <c r="C16" s="16">
        <v>5500</v>
      </c>
      <c r="D16" s="46"/>
    </row>
    <row r="17" ht="20.05" customHeight="1">
      <c r="B17" s="30"/>
      <c r="C17" s="16">
        <v>6000</v>
      </c>
      <c r="D17" s="46"/>
    </row>
    <row r="18" ht="20.05" customHeight="1">
      <c r="B18" s="30"/>
      <c r="C18" s="16">
        <v>6238</v>
      </c>
      <c r="D18" s="46"/>
    </row>
    <row r="19" ht="20.05" customHeight="1">
      <c r="B19" s="30"/>
      <c r="C19" s="16">
        <v>5375</v>
      </c>
      <c r="D19" s="46"/>
    </row>
    <row r="20" ht="20.05" customHeight="1">
      <c r="B20" s="30"/>
      <c r="C20" s="16">
        <v>5388</v>
      </c>
      <c r="D20" s="46"/>
    </row>
    <row r="21" ht="20.05" customHeight="1">
      <c r="B21" s="30"/>
      <c r="C21" s="16">
        <v>5025</v>
      </c>
      <c r="D21" s="46"/>
    </row>
    <row r="22" ht="20.05" customHeight="1">
      <c r="B22" s="30"/>
      <c r="C22" s="16">
        <v>4762</v>
      </c>
      <c r="D22" s="46"/>
    </row>
    <row r="23" ht="20.05" customHeight="1">
      <c r="B23" s="30"/>
      <c r="C23" s="16">
        <v>4550</v>
      </c>
      <c r="D23" s="46"/>
    </row>
    <row r="24" ht="20.05" customHeight="1">
      <c r="B24" s="30"/>
      <c r="C24" s="16">
        <v>3962</v>
      </c>
      <c r="D24" s="46"/>
    </row>
    <row r="25" ht="20.05" customHeight="1">
      <c r="B25" s="30"/>
      <c r="C25" s="16">
        <v>4350</v>
      </c>
      <c r="D25" s="46"/>
    </row>
    <row r="26" ht="20.05" customHeight="1">
      <c r="B26" s="30"/>
      <c r="C26" s="16">
        <v>4250</v>
      </c>
      <c r="D26" s="46"/>
    </row>
    <row r="27" ht="20.05" customHeight="1">
      <c r="B27" s="30"/>
      <c r="C27" s="16">
        <v>4625</v>
      </c>
      <c r="D27" s="46"/>
    </row>
    <row r="28" ht="20.05" customHeight="1">
      <c r="B28" s="33">
        <v>2016</v>
      </c>
      <c r="C28" s="16">
        <v>4800</v>
      </c>
      <c r="D28" s="46"/>
    </row>
    <row r="29" ht="20.05" customHeight="1">
      <c r="B29" s="30"/>
      <c r="C29" s="16">
        <v>4775</v>
      </c>
      <c r="D29" s="46"/>
    </row>
    <row r="30" ht="20.05" customHeight="1">
      <c r="B30" s="30"/>
      <c r="C30" s="16">
        <v>5150</v>
      </c>
      <c r="D30" s="46"/>
    </row>
    <row r="31" ht="20.05" customHeight="1">
      <c r="B31" s="30"/>
      <c r="C31" s="16">
        <v>4825</v>
      </c>
      <c r="D31" s="46"/>
    </row>
    <row r="32" ht="20.05" customHeight="1">
      <c r="B32" s="30"/>
      <c r="C32" s="16">
        <v>4512</v>
      </c>
      <c r="D32" s="46"/>
    </row>
    <row r="33" ht="20.05" customHeight="1">
      <c r="B33" s="30"/>
      <c r="C33" s="16">
        <v>4762</v>
      </c>
      <c r="D33" s="46"/>
    </row>
    <row r="34" ht="20.05" customHeight="1">
      <c r="B34" s="30"/>
      <c r="C34" s="16">
        <v>5050</v>
      </c>
      <c r="D34" s="46"/>
    </row>
    <row r="35" ht="20.05" customHeight="1">
      <c r="B35" s="30"/>
      <c r="C35" s="16">
        <v>5612</v>
      </c>
      <c r="D35" s="46"/>
    </row>
    <row r="36" ht="20.05" customHeight="1">
      <c r="B36" s="30"/>
      <c r="C36" s="16">
        <v>5600</v>
      </c>
      <c r="D36" s="46"/>
    </row>
    <row r="37" ht="20.05" customHeight="1">
      <c r="B37" s="30"/>
      <c r="C37" s="16">
        <v>5738</v>
      </c>
      <c r="D37" s="46"/>
    </row>
    <row r="38" ht="20.05" customHeight="1">
      <c r="B38" s="30"/>
      <c r="C38" s="16">
        <v>5250</v>
      </c>
      <c r="D38" s="46"/>
    </row>
    <row r="39" ht="20.05" customHeight="1">
      <c r="B39" s="30"/>
      <c r="C39" s="16">
        <v>5788</v>
      </c>
      <c r="D39" s="46"/>
    </row>
    <row r="40" ht="20.05" customHeight="1">
      <c r="B40" s="33">
        <v>2017</v>
      </c>
      <c r="C40" s="16">
        <v>5450</v>
      </c>
      <c r="D40" s="46"/>
    </row>
    <row r="41" ht="20.05" customHeight="1">
      <c r="B41" s="30"/>
      <c r="C41" s="16">
        <v>5650</v>
      </c>
      <c r="D41" s="46"/>
    </row>
    <row r="42" ht="20.05" customHeight="1">
      <c r="B42" s="30"/>
      <c r="C42" s="16">
        <v>5850</v>
      </c>
      <c r="D42" s="46"/>
    </row>
    <row r="43" ht="20.05" customHeight="1">
      <c r="B43" s="30"/>
      <c r="C43" s="16">
        <v>5850</v>
      </c>
      <c r="D43" s="46"/>
    </row>
    <row r="44" ht="20.05" customHeight="1">
      <c r="B44" s="30"/>
      <c r="C44" s="16">
        <v>6300</v>
      </c>
      <c r="D44" s="46"/>
    </row>
    <row r="45" ht="20.05" customHeight="1">
      <c r="B45" s="30"/>
      <c r="C45" s="16">
        <v>6375</v>
      </c>
      <c r="D45" s="46"/>
    </row>
    <row r="46" ht="20.05" customHeight="1">
      <c r="B46" s="30"/>
      <c r="C46" s="16">
        <v>6825</v>
      </c>
      <c r="D46" s="46"/>
    </row>
    <row r="47" ht="20.05" customHeight="1">
      <c r="B47" s="30"/>
      <c r="C47" s="16">
        <v>6550</v>
      </c>
      <c r="D47" s="46"/>
    </row>
    <row r="48" ht="20.05" customHeight="1">
      <c r="B48" s="30"/>
      <c r="C48" s="16">
        <v>6725</v>
      </c>
      <c r="D48" s="46"/>
    </row>
    <row r="49" ht="20.05" customHeight="1">
      <c r="B49" s="30"/>
      <c r="C49" s="16">
        <v>7050</v>
      </c>
      <c r="D49" s="46"/>
    </row>
    <row r="50" ht="20.05" customHeight="1">
      <c r="B50" s="30"/>
      <c r="C50" s="16">
        <v>7400</v>
      </c>
      <c r="D50" s="46"/>
    </row>
    <row r="51" ht="20.05" customHeight="1">
      <c r="B51" s="30"/>
      <c r="C51" s="16">
        <v>8000</v>
      </c>
      <c r="D51" s="46"/>
    </row>
    <row r="52" ht="20.05" customHeight="1">
      <c r="B52" s="33">
        <v>2018</v>
      </c>
      <c r="C52" s="16">
        <v>8150</v>
      </c>
      <c r="D52" s="46"/>
    </row>
    <row r="53" ht="20.05" customHeight="1">
      <c r="B53" s="30"/>
      <c r="C53" s="16">
        <v>8300</v>
      </c>
      <c r="D53" s="46"/>
    </row>
    <row r="54" ht="20.05" customHeight="1">
      <c r="B54" s="30"/>
      <c r="C54" s="16">
        <v>7675</v>
      </c>
      <c r="D54" s="46"/>
    </row>
    <row r="55" ht="20.05" customHeight="1">
      <c r="B55" s="30"/>
      <c r="C55" s="16">
        <v>7125</v>
      </c>
      <c r="D55" s="46"/>
    </row>
    <row r="56" ht="20.05" customHeight="1">
      <c r="B56" s="30"/>
      <c r="C56" s="16">
        <v>7050</v>
      </c>
      <c r="D56" s="46"/>
    </row>
    <row r="57" ht="20.05" customHeight="1">
      <c r="B57" s="30"/>
      <c r="C57" s="16">
        <v>6850</v>
      </c>
      <c r="D57" s="46"/>
    </row>
    <row r="58" ht="20.05" customHeight="1">
      <c r="B58" s="30"/>
      <c r="C58" s="16">
        <v>6650</v>
      </c>
      <c r="D58" s="46"/>
    </row>
    <row r="59" ht="20.05" customHeight="1">
      <c r="B59" s="30"/>
      <c r="C59" s="16">
        <v>6900</v>
      </c>
      <c r="D59" s="46"/>
    </row>
    <row r="60" ht="20.05" customHeight="1">
      <c r="B60" s="30"/>
      <c r="C60" s="16">
        <v>6725</v>
      </c>
      <c r="D60" s="46"/>
    </row>
    <row r="61" ht="20.05" customHeight="1">
      <c r="B61" s="30"/>
      <c r="C61" s="16">
        <v>6850</v>
      </c>
      <c r="D61" s="46"/>
    </row>
    <row r="62" ht="20.05" customHeight="1">
      <c r="B62" s="30"/>
      <c r="C62" s="16">
        <v>7400</v>
      </c>
      <c r="D62" s="46"/>
    </row>
    <row r="63" ht="20.05" customHeight="1">
      <c r="B63" s="30"/>
      <c r="C63" s="16">
        <v>7375</v>
      </c>
      <c r="D63" s="46"/>
    </row>
    <row r="64" ht="20.05" customHeight="1">
      <c r="B64" s="33">
        <v>2019</v>
      </c>
      <c r="C64" s="16">
        <v>7450</v>
      </c>
      <c r="D64" s="46"/>
    </row>
    <row r="65" ht="20.05" customHeight="1">
      <c r="B65" s="30"/>
      <c r="C65" s="16">
        <v>7125</v>
      </c>
      <c r="D65" s="46"/>
    </row>
    <row r="66" ht="20.05" customHeight="1">
      <c r="B66" s="30"/>
      <c r="C66" s="16">
        <v>7450</v>
      </c>
      <c r="D66" s="46"/>
    </row>
    <row r="67" ht="20.05" customHeight="1">
      <c r="B67" s="30"/>
      <c r="C67" s="16">
        <v>7725</v>
      </c>
      <c r="D67" s="46"/>
    </row>
    <row r="68" ht="20.05" customHeight="1">
      <c r="B68" s="30"/>
      <c r="C68" s="16">
        <v>7675</v>
      </c>
      <c r="D68" s="46"/>
    </row>
    <row r="69" ht="20.05" customHeight="1">
      <c r="B69" s="30"/>
      <c r="C69" s="16">
        <v>8025</v>
      </c>
      <c r="D69" s="46"/>
    </row>
    <row r="70" ht="20.05" customHeight="1">
      <c r="B70" s="30"/>
      <c r="C70" s="16">
        <v>7975</v>
      </c>
      <c r="D70" s="46"/>
    </row>
    <row r="71" ht="20.05" customHeight="1">
      <c r="B71" s="30"/>
      <c r="C71" s="16">
        <v>7250</v>
      </c>
      <c r="D71" s="46"/>
    </row>
    <row r="72" ht="20.05" customHeight="1">
      <c r="B72" s="30"/>
      <c r="C72" s="16">
        <v>6975</v>
      </c>
      <c r="D72" s="46"/>
    </row>
    <row r="73" ht="20.05" customHeight="1">
      <c r="B73" s="30"/>
      <c r="C73" s="16">
        <v>7025</v>
      </c>
      <c r="D73" s="46"/>
    </row>
    <row r="74" ht="20.05" customHeight="1">
      <c r="B74" s="30"/>
      <c r="C74" s="16">
        <v>6975</v>
      </c>
      <c r="D74" s="46"/>
    </row>
    <row r="75" ht="20.05" customHeight="1">
      <c r="B75" s="30"/>
      <c r="C75" s="16">
        <v>7675</v>
      </c>
      <c r="D75" s="46"/>
    </row>
    <row r="76" ht="20.05" customHeight="1">
      <c r="B76" s="33">
        <v>2020</v>
      </c>
      <c r="C76" s="16">
        <v>7550</v>
      </c>
      <c r="D76" s="46"/>
    </row>
    <row r="77" ht="20.05" customHeight="1">
      <c r="B77" s="30"/>
      <c r="C77" s="16">
        <v>7275</v>
      </c>
      <c r="D77" s="46"/>
    </row>
    <row r="78" ht="20.05" customHeight="1">
      <c r="B78" s="30"/>
      <c r="C78" s="16">
        <v>4680</v>
      </c>
      <c r="D78" s="46"/>
    </row>
    <row r="79" ht="20.05" customHeight="1">
      <c r="B79" s="30"/>
      <c r="C79" s="16">
        <v>4460</v>
      </c>
      <c r="D79" s="34"/>
    </row>
    <row r="80" ht="20.05" customHeight="1">
      <c r="B80" s="30"/>
      <c r="C80" s="16">
        <v>4470</v>
      </c>
      <c r="D80" s="34"/>
    </row>
    <row r="81" ht="20.05" customHeight="1">
      <c r="B81" s="30"/>
      <c r="C81" s="16">
        <v>4950</v>
      </c>
      <c r="D81" s="34"/>
    </row>
    <row r="82" ht="20.05" customHeight="1">
      <c r="B82" s="30"/>
      <c r="C82" s="16">
        <v>5800</v>
      </c>
      <c r="D82" s="34"/>
    </row>
    <row r="83" ht="20.05" customHeight="1">
      <c r="B83" s="30"/>
      <c r="C83" s="16">
        <v>5950</v>
      </c>
      <c r="D83" s="34"/>
    </row>
    <row r="84" ht="20.05" customHeight="1">
      <c r="B84" s="30"/>
      <c r="C84" s="16">
        <v>4960</v>
      </c>
      <c r="D84" s="34"/>
    </row>
    <row r="85" ht="20.05" customHeight="1">
      <c r="B85" s="30"/>
      <c r="C85" s="16">
        <v>5775</v>
      </c>
      <c r="D85" s="34"/>
    </row>
    <row r="86" ht="20.05" customHeight="1">
      <c r="B86" s="30"/>
      <c r="C86" s="16">
        <v>6325</v>
      </c>
      <c r="D86" s="17">
        <v>8726.666666666661</v>
      </c>
    </row>
    <row r="87" ht="20.05" customHeight="1">
      <c r="B87" s="30"/>
      <c r="C87" s="16">
        <v>6325</v>
      </c>
      <c r="D87" s="17">
        <v>8726.666666666661</v>
      </c>
    </row>
    <row r="88" ht="20.05" customHeight="1">
      <c r="B88" s="33">
        <v>2021</v>
      </c>
      <c r="C88" s="16">
        <v>6575</v>
      </c>
      <c r="D88" s="17">
        <v>8726.666666666661</v>
      </c>
    </row>
    <row r="89" ht="20.05" customHeight="1">
      <c r="B89" s="30"/>
      <c r="C89" s="16">
        <v>6150</v>
      </c>
      <c r="D89" s="17">
        <v>10946.2578828829</v>
      </c>
    </row>
    <row r="90" ht="20.05" customHeight="1">
      <c r="B90" s="30"/>
      <c r="C90" s="16">
        <v>6150</v>
      </c>
      <c r="D90" s="17">
        <v>10946.2578828829</v>
      </c>
    </row>
    <row r="91" ht="20.05" customHeight="1">
      <c r="B91" s="30"/>
      <c r="C91" s="16">
        <v>6227.5</v>
      </c>
      <c r="D91" s="17">
        <v>8892.672236063159</v>
      </c>
    </row>
    <row r="92" ht="20.05" customHeight="1">
      <c r="B92" s="30"/>
      <c r="C92" s="16">
        <v>6000</v>
      </c>
      <c r="D92" s="17">
        <v>8892.672236063159</v>
      </c>
    </row>
    <row r="93" ht="20.05" customHeight="1">
      <c r="B93" s="30"/>
      <c r="C93" s="16">
        <v>5900</v>
      </c>
      <c r="D93" s="17">
        <v>8892.672236063159</v>
      </c>
    </row>
    <row r="94" ht="20.05" customHeight="1">
      <c r="B94" s="30"/>
      <c r="C94" s="16">
        <v>5700</v>
      </c>
      <c r="D94" s="17">
        <v>8892.672236063159</v>
      </c>
    </row>
    <row r="95" ht="20.05" customHeight="1">
      <c r="B95" s="30"/>
      <c r="C95" s="16">
        <v>6100</v>
      </c>
      <c r="D95" s="13">
        <f>'Model'!F39</f>
        <v>10559.9236355131</v>
      </c>
    </row>
    <row r="96" ht="20.05" customHeight="1">
      <c r="B96" s="30"/>
      <c r="C96" s="16">
        <v>6150</v>
      </c>
      <c r="D96" s="34"/>
    </row>
    <row r="97" ht="20.05" customHeight="1">
      <c r="B97" s="30"/>
      <c r="C97" s="16">
        <v>7150</v>
      </c>
      <c r="D97" s="34"/>
    </row>
    <row r="98" ht="20.05" customHeight="1">
      <c r="B98" s="30"/>
      <c r="C98" s="16">
        <v>7150</v>
      </c>
      <c r="D98" s="17">
        <f>C98</f>
        <v>7150</v>
      </c>
    </row>
    <row r="99" ht="20.05" customHeight="1">
      <c r="B99" s="30"/>
      <c r="C99" s="16"/>
      <c r="D99" s="13">
        <f>'Model'!F39</f>
        <v>10559.9236355131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