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 Cashflow" sheetId="3" r:id="rId6"/>
    <sheet name="Balance Sheet " sheetId="4" r:id="rId7"/>
    <sheet name="Share price" sheetId="5" r:id="rId8"/>
    <sheet name="Capital " sheetId="6" r:id="rId9"/>
  </sheets>
</workbook>
</file>

<file path=xl/sharedStrings.xml><?xml version="1.0" encoding="utf-8"?>
<sst xmlns="http://schemas.openxmlformats.org/spreadsheetml/2006/main" uniqueCount="69">
  <si>
    <t>Financial model</t>
  </si>
  <si>
    <t>Rpbn</t>
  </si>
  <si>
    <t>4Q 2022</t>
  </si>
  <si>
    <t>Cashflow</t>
  </si>
  <si>
    <t>Growth</t>
  </si>
  <si>
    <t>Sales</t>
  </si>
  <si>
    <t>Cost ratio</t>
  </si>
  <si>
    <t>Cash costs</t>
  </si>
  <si>
    <t>Operating</t>
  </si>
  <si>
    <t>Investment</t>
  </si>
  <si>
    <t>Finance</t>
  </si>
  <si>
    <t xml:space="preserve">Payout </t>
  </si>
  <si>
    <t>Equity</t>
  </si>
  <si>
    <t xml:space="preserve">Before revolver </t>
  </si>
  <si>
    <t xml:space="preserve">Revolver </t>
  </si>
  <si>
    <t>Beginning</t>
  </si>
  <si>
    <t>Change</t>
  </si>
  <si>
    <t>Ending</t>
  </si>
  <si>
    <t>Profit</t>
  </si>
  <si>
    <t xml:space="preserve">Depreciation </t>
  </si>
  <si>
    <t>Provision</t>
  </si>
  <si>
    <t xml:space="preserve">Net profit </t>
  </si>
  <si>
    <t>Balance sheet</t>
  </si>
  <si>
    <t>Other assets</t>
  </si>
  <si>
    <t>Net other assets</t>
  </si>
  <si>
    <t xml:space="preserve">Liabilities </t>
  </si>
  <si>
    <t xml:space="preserve">Equity </t>
  </si>
  <si>
    <t xml:space="preserve">Check </t>
  </si>
  <si>
    <t xml:space="preserve">Valuation </t>
  </si>
  <si>
    <t xml:space="preserve">Capital </t>
  </si>
  <si>
    <t xml:space="preserve">Current value </t>
  </si>
  <si>
    <t>P/assets</t>
  </si>
  <si>
    <t>Yield</t>
  </si>
  <si>
    <t>Cashfkow</t>
  </si>
  <si>
    <t xml:space="preserve">Forecast </t>
  </si>
  <si>
    <t xml:space="preserve">Value </t>
  </si>
  <si>
    <t>Shares</t>
  </si>
  <si>
    <t>Target</t>
  </si>
  <si>
    <t xml:space="preserve">Current </t>
  </si>
  <si>
    <t>V target</t>
  </si>
  <si>
    <t xml:space="preserve">12 month growth </t>
  </si>
  <si>
    <t xml:space="preserve">Sales forecasts </t>
  </si>
  <si>
    <t>Forecast</t>
  </si>
  <si>
    <t>Provision for uncollectibles</t>
  </si>
  <si>
    <t xml:space="preserve">Net income </t>
  </si>
  <si>
    <t>Sales to assets ratio</t>
  </si>
  <si>
    <t xml:space="preserve">Sales growth </t>
  </si>
  <si>
    <t>Receipts</t>
  </si>
  <si>
    <t>Operating before working capital</t>
  </si>
  <si>
    <t>Capex</t>
  </si>
  <si>
    <t xml:space="preserve">Operating </t>
  </si>
  <si>
    <t xml:space="preserve">Investing </t>
  </si>
  <si>
    <t xml:space="preserve">Beginning </t>
  </si>
  <si>
    <t xml:space="preserve">Ending </t>
  </si>
  <si>
    <t xml:space="preserve">Free cashflow </t>
  </si>
  <si>
    <t>Capital</t>
  </si>
  <si>
    <t xml:space="preserve">  Cash</t>
  </si>
  <si>
    <t xml:space="preserve">Assets </t>
  </si>
  <si>
    <t>Other asset</t>
  </si>
  <si>
    <t>Depreciation &amp; provisions</t>
  </si>
  <si>
    <t>Check</t>
  </si>
  <si>
    <t xml:space="preserve">Other assets growth </t>
  </si>
  <si>
    <t>Liabilities growth</t>
  </si>
  <si>
    <t>Net cash</t>
  </si>
  <si>
    <t>Share price</t>
  </si>
  <si>
    <t>BMRI</t>
  </si>
  <si>
    <t xml:space="preserve">Previous target </t>
  </si>
  <si>
    <t xml:space="preserve">Total </t>
  </si>
  <si>
    <t>Total</t>
  </si>
</sst>
</file>

<file path=xl/styles.xml><?xml version="1.0" encoding="utf-8"?>
<styleSheet xmlns="http://schemas.openxmlformats.org/spreadsheetml/2006/main">
  <numFmts count="8">
    <numFmt numFmtId="0" formatCode="General"/>
    <numFmt numFmtId="59" formatCode="0%_);[Red]\(0%\)"/>
    <numFmt numFmtId="60" formatCode="#,##0%"/>
    <numFmt numFmtId="61" formatCode="#,##0.0"/>
    <numFmt numFmtId="62" formatCode="#,##0%_);[Red]\(#,##0%\)"/>
    <numFmt numFmtId="63" formatCode="0.0%"/>
    <numFmt numFmtId="64" formatCode="#,##0.0%_);[Red]\(#,##0.0%\)"/>
    <numFmt numFmtId="65" formatCode="#,##0.0%"/>
  </numFmts>
  <fonts count="4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2"/>
      <color indexed="8"/>
      <name val="Helvetica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50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60" fontId="0" borderId="6" applyNumberFormat="1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61" fontId="0" borderId="6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62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8" fontId="0" borderId="3" applyNumberFormat="1" applyFont="1" applyFill="0" applyBorder="1" applyAlignment="1" applyProtection="0">
      <alignment vertical="top" wrapText="1"/>
    </xf>
    <xf numFmtId="38" fontId="0" borderId="4" applyNumberFormat="1" applyFont="1" applyFill="0" applyBorder="1" applyAlignment="1" applyProtection="0">
      <alignment vertical="top" wrapText="1"/>
    </xf>
    <xf numFmtId="63" fontId="0" borderId="4" applyNumberFormat="1" applyFont="1" applyFill="0" applyBorder="1" applyAlignment="1" applyProtection="0">
      <alignment vertical="top" wrapText="1"/>
    </xf>
    <xf numFmtId="60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63" fontId="0" borderId="7" applyNumberFormat="1" applyFont="1" applyFill="0" applyBorder="1" applyAlignment="1" applyProtection="0">
      <alignment vertical="top" wrapText="1"/>
    </xf>
    <xf numFmtId="64" fontId="0" borderId="7" applyNumberFormat="1" applyFont="1" applyFill="0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3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65" fontId="0" borderId="4" applyNumberFormat="1" applyFont="1" applyFill="0" applyBorder="1" applyAlignment="1" applyProtection="0">
      <alignment vertical="top" wrapText="1"/>
    </xf>
    <xf numFmtId="65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1" fontId="0" borderId="4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b8b8b8"/>
      <rgbColor rgb="ffffff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168083"/>
          <c:y val="0.0446026"/>
          <c:w val="0.823507"/>
          <c:h val="0.881835"/>
        </c:manualLayout>
      </c:layout>
      <c:lineChart>
        <c:grouping val="standard"/>
        <c:varyColors val="0"/>
        <c:ser>
          <c:idx val="0"/>
          <c:order val="0"/>
          <c:tx>
            <c:strRef>
              <c:f>'Capital '!$E$2</c:f>
              <c:strCache>
                <c:ptCount val="1"/>
                <c:pt idx="0">
                  <c:v>Liabilities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1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1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 '!$A$3:$A$25</c:f>
              <c:strCach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strCache>
            </c:strRef>
          </c:cat>
          <c:val>
            <c:numRef>
              <c:f>'Capital '!$E$3:$E$25</c:f>
              <c:numCache>
                <c:ptCount val="23"/>
                <c:pt idx="0">
                  <c:v>7071.000000</c:v>
                </c:pt>
                <c:pt idx="1">
                  <c:v>16471.000000</c:v>
                </c:pt>
                <c:pt idx="2">
                  <c:v>26048.000000</c:v>
                </c:pt>
                <c:pt idx="3">
                  <c:v>12233.000000</c:v>
                </c:pt>
                <c:pt idx="4">
                  <c:v>6833.000000</c:v>
                </c:pt>
                <c:pt idx="5">
                  <c:v>5758.000000</c:v>
                </c:pt>
                <c:pt idx="6">
                  <c:v>1076.000000</c:v>
                </c:pt>
                <c:pt idx="7">
                  <c:v>-5251.000000</c:v>
                </c:pt>
                <c:pt idx="8">
                  <c:v>-7394.000000</c:v>
                </c:pt>
                <c:pt idx="9">
                  <c:v>-1571.000000</c:v>
                </c:pt>
                <c:pt idx="10">
                  <c:v>-6779.000000</c:v>
                </c:pt>
                <c:pt idx="11">
                  <c:v>-8867.000000</c:v>
                </c:pt>
                <c:pt idx="12">
                  <c:v>-2267.000000</c:v>
                </c:pt>
                <c:pt idx="13">
                  <c:v>-3833.000000</c:v>
                </c:pt>
                <c:pt idx="14">
                  <c:v>7172.000000</c:v>
                </c:pt>
                <c:pt idx="15">
                  <c:v>16129.000000</c:v>
                </c:pt>
                <c:pt idx="16">
                  <c:v>21875.000000</c:v>
                </c:pt>
                <c:pt idx="17">
                  <c:v>26000.000000</c:v>
                </c:pt>
                <c:pt idx="18">
                  <c:v>32915.000000</c:v>
                </c:pt>
                <c:pt idx="19">
                  <c:v>59354.000000</c:v>
                </c:pt>
                <c:pt idx="20">
                  <c:v>63738.000000</c:v>
                </c:pt>
                <c:pt idx="21">
                  <c:v>68480.000000</c:v>
                </c:pt>
                <c:pt idx="22">
                  <c:v>71257.000000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'Capital '!$F$2</c:f>
              <c:strCache>
                <c:ptCount val="1"/>
                <c:pt idx="0">
                  <c:v>Equity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3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3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 '!$A$3:$A$25</c:f>
              <c:strCach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strCache>
            </c:strRef>
          </c:cat>
          <c:val>
            <c:numRef>
              <c:f>'Capital '!$F$3:$F$25</c:f>
              <c:numCache>
                <c:ptCount val="23"/>
                <c:pt idx="0">
                  <c:v>21754.000000</c:v>
                </c:pt>
                <c:pt idx="1">
                  <c:v>199754.000000</c:v>
                </c:pt>
                <c:pt idx="2">
                  <c:v>197097.000000</c:v>
                </c:pt>
                <c:pt idx="3">
                  <c:v>196086.000000</c:v>
                </c:pt>
                <c:pt idx="4">
                  <c:v>194714.000000</c:v>
                </c:pt>
                <c:pt idx="5">
                  <c:v>191784.000000</c:v>
                </c:pt>
                <c:pt idx="6">
                  <c:v>189462.000000</c:v>
                </c:pt>
                <c:pt idx="7">
                  <c:v>186794.000000</c:v>
                </c:pt>
                <c:pt idx="8">
                  <c:v>186895.000000</c:v>
                </c:pt>
                <c:pt idx="9">
                  <c:v>185579.000000</c:v>
                </c:pt>
                <c:pt idx="10">
                  <c:v>181629.000000</c:v>
                </c:pt>
                <c:pt idx="11">
                  <c:v>179249.000000</c:v>
                </c:pt>
                <c:pt idx="12">
                  <c:v>187469.000000</c:v>
                </c:pt>
                <c:pt idx="13">
                  <c:v>184529.000000</c:v>
                </c:pt>
                <c:pt idx="14">
                  <c:v>179878.000000</c:v>
                </c:pt>
                <c:pt idx="15">
                  <c:v>174417.000000</c:v>
                </c:pt>
                <c:pt idx="16">
                  <c:v>169449.000000</c:v>
                </c:pt>
                <c:pt idx="17">
                  <c:v>163349.000000</c:v>
                </c:pt>
                <c:pt idx="18">
                  <c:v>157136.000000</c:v>
                </c:pt>
                <c:pt idx="19">
                  <c:v>147848.000000</c:v>
                </c:pt>
                <c:pt idx="20">
                  <c:v>136591.000000</c:v>
                </c:pt>
                <c:pt idx="21">
                  <c:v>119874.000000</c:v>
                </c:pt>
                <c:pt idx="22">
                  <c:v>109602.000000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'Capital '!$G$2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4">
                  <a:hueOff val="-461056"/>
                  <a:satOff val="4338"/>
                  <a:lumOff val="-10225"/>
                </a:schemeClr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4">
                    <a:hueOff val="-461056"/>
                    <a:satOff val="4338"/>
                    <a:lumOff val="-10225"/>
                  </a:schemeClr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 '!$A$3:$A$25</c:f>
              <c:strCach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strCache>
            </c:strRef>
          </c:cat>
          <c:val>
            <c:numRef>
              <c:f>'Capital '!$G$3:$G$25</c:f>
              <c:numCache>
                <c:ptCount val="23"/>
                <c:pt idx="0">
                  <c:v>28825.000000</c:v>
                </c:pt>
                <c:pt idx="1">
                  <c:v>216225.000000</c:v>
                </c:pt>
                <c:pt idx="2">
                  <c:v>223145.000000</c:v>
                </c:pt>
                <c:pt idx="3">
                  <c:v>208319.000000</c:v>
                </c:pt>
                <c:pt idx="4">
                  <c:v>201547.000000</c:v>
                </c:pt>
                <c:pt idx="5">
                  <c:v>197542.000000</c:v>
                </c:pt>
                <c:pt idx="6">
                  <c:v>190538.000000</c:v>
                </c:pt>
                <c:pt idx="7">
                  <c:v>181543.000000</c:v>
                </c:pt>
                <c:pt idx="8">
                  <c:v>179501.000000</c:v>
                </c:pt>
                <c:pt idx="9">
                  <c:v>184008.000000</c:v>
                </c:pt>
                <c:pt idx="10">
                  <c:v>174850.000000</c:v>
                </c:pt>
                <c:pt idx="11">
                  <c:v>170382.000000</c:v>
                </c:pt>
                <c:pt idx="12">
                  <c:v>185202.000000</c:v>
                </c:pt>
                <c:pt idx="13">
                  <c:v>180696.000000</c:v>
                </c:pt>
                <c:pt idx="14">
                  <c:v>187050.000000</c:v>
                </c:pt>
                <c:pt idx="15">
                  <c:v>190546.000000</c:v>
                </c:pt>
                <c:pt idx="16">
                  <c:v>191324.000000</c:v>
                </c:pt>
                <c:pt idx="17">
                  <c:v>189349.000000</c:v>
                </c:pt>
                <c:pt idx="18">
                  <c:v>190051.000000</c:v>
                </c:pt>
                <c:pt idx="19">
                  <c:v>207202.000000</c:v>
                </c:pt>
                <c:pt idx="20">
                  <c:v>200329.000000</c:v>
                </c:pt>
                <c:pt idx="21">
                  <c:v>188354.000000</c:v>
                </c:pt>
                <c:pt idx="22">
                  <c:v>180859.000000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midCat"/>
        <c:majorUnit val="93750"/>
        <c:minorUnit val="46875"/>
      </c:valAx>
      <c:spPr>
        <a:noFill/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371658"/>
          <c:y val="0.0615863"/>
          <c:w val="0.416357"/>
          <c:h val="0.158808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421841</xdr:colOff>
      <xdr:row>1</xdr:row>
      <xdr:rowOff>124668</xdr:rowOff>
    </xdr:from>
    <xdr:to>
      <xdr:col>12</xdr:col>
      <xdr:colOff>1020647</xdr:colOff>
      <xdr:row>45</xdr:row>
      <xdr:rowOff>228274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625541" y="475823"/>
          <a:ext cx="8066406" cy="1133612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2</xdr:col>
      <xdr:colOff>100101</xdr:colOff>
      <xdr:row>28</xdr:row>
      <xdr:rowOff>162573</xdr:rowOff>
    </xdr:from>
    <xdr:to>
      <xdr:col>6</xdr:col>
      <xdr:colOff>219036</xdr:colOff>
      <xdr:row>41</xdr:row>
      <xdr:rowOff>214199</xdr:rowOff>
    </xdr:to>
    <xdr:graphicFrame>
      <xdr:nvGraphicFramePr>
        <xdr:cNvPr id="4" name="2D Line Chart"/>
        <xdr:cNvGraphicFramePr/>
      </xdr:nvGraphicFramePr>
      <xdr:xfrm>
        <a:off x="1852701" y="7388238"/>
        <a:ext cx="3624136" cy="3337117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2:F45"/>
  <sheetViews>
    <sheetView workbookViewId="0" showGridLines="0" defaultGridColor="1">
      <pane topLeftCell="C3" xSplit="2" ySplit="2" activePane="bottomRight" state="frozen"/>
    </sheetView>
  </sheetViews>
  <sheetFormatPr defaultColWidth="16.3333" defaultRowHeight="19.9" customHeight="1" outlineLevelRow="0" outlineLevelCol="0"/>
  <cols>
    <col min="1" max="1" width="3.01562" style="1" customWidth="1"/>
    <col min="2" max="2" width="14.7656" style="1" customWidth="1"/>
    <col min="3" max="6" width="9.41406" style="1" customWidth="1"/>
    <col min="7" max="16384" width="16.3516" style="1" customWidth="1"/>
  </cols>
  <sheetData>
    <row r="1" ht="27.65" customHeight="1">
      <c r="B1" t="s" s="2">
        <v>0</v>
      </c>
      <c r="C1" s="2"/>
      <c r="D1" s="2"/>
      <c r="E1" s="2"/>
      <c r="F1" s="2"/>
    </row>
    <row r="2" ht="20.05" customHeight="1">
      <c r="B2" t="s" s="3">
        <v>1</v>
      </c>
      <c r="C2" s="4"/>
      <c r="D2" s="4"/>
      <c r="E2" t="s" s="5">
        <v>2</v>
      </c>
      <c r="F2" s="4"/>
    </row>
    <row r="3" ht="20.3" customHeight="1">
      <c r="B3" t="s" s="6">
        <v>3</v>
      </c>
      <c r="C3" s="7">
        <f>AVERAGE('Sales'!I29:I32)</f>
        <v>0.0285025296560142</v>
      </c>
      <c r="D3" s="8"/>
      <c r="E3" s="8"/>
      <c r="F3" s="8">
        <f>AVERAGE(C4:F4)</f>
        <v>0.02</v>
      </c>
    </row>
    <row r="4" ht="20.1" customHeight="1">
      <c r="B4" t="s" s="9">
        <v>4</v>
      </c>
      <c r="C4" s="10">
        <v>0.02</v>
      </c>
      <c r="D4" s="11">
        <v>0.02</v>
      </c>
      <c r="E4" s="11">
        <v>0.05</v>
      </c>
      <c r="F4" s="11">
        <v>-0.01</v>
      </c>
    </row>
    <row r="5" ht="20.1" customHeight="1">
      <c r="B5" t="s" s="9">
        <v>5</v>
      </c>
      <c r="C5" s="12">
        <f>'Sales'!C32*(1+C4)</f>
        <v>38362.302</v>
      </c>
      <c r="D5" s="13">
        <f>C5*(1+D4)</f>
        <v>39129.54804</v>
      </c>
      <c r="E5" s="13">
        <f>D5*(1+E4)</f>
        <v>41086.025442</v>
      </c>
      <c r="F5" s="13">
        <f>E5*(1+F4)</f>
        <v>40675.16518758</v>
      </c>
    </row>
    <row r="6" ht="20.1" customHeight="1">
      <c r="B6" t="s" s="9">
        <v>6</v>
      </c>
      <c r="C6" s="14">
        <f>AVERAGE('Sales'!K32)</f>
        <v>-0.606581311871472</v>
      </c>
      <c r="D6" s="15">
        <f>C6</f>
        <v>-0.606581311871472</v>
      </c>
      <c r="E6" s="15">
        <f>D6</f>
        <v>-0.606581311871472</v>
      </c>
      <c r="F6" s="15">
        <f>E6</f>
        <v>-0.606581311871472</v>
      </c>
    </row>
    <row r="7" ht="20.1" customHeight="1">
      <c r="B7" t="s" s="9">
        <v>7</v>
      </c>
      <c r="C7" s="16">
        <f>C6*C5</f>
        <v>-23269.8554735696</v>
      </c>
      <c r="D7" s="17">
        <f>D6*D5</f>
        <v>-23735.252583041</v>
      </c>
      <c r="E7" s="17">
        <f>E6*E5</f>
        <v>-24922.015212193</v>
      </c>
      <c r="F7" s="17">
        <f>F6*F5</f>
        <v>-24672.7950600711</v>
      </c>
    </row>
    <row r="8" ht="20.1" customHeight="1">
      <c r="B8" t="s" s="9">
        <v>8</v>
      </c>
      <c r="C8" s="16">
        <f>C5+C7</f>
        <v>15092.4465264304</v>
      </c>
      <c r="D8" s="17">
        <f>D5+D7</f>
        <v>15394.295456959</v>
      </c>
      <c r="E8" s="17">
        <f>E5+E7</f>
        <v>16164.010229807</v>
      </c>
      <c r="F8" s="17">
        <f>F5+F7</f>
        <v>16002.3701275089</v>
      </c>
    </row>
    <row r="9" ht="20.05" customHeight="1">
      <c r="B9" t="s" s="9">
        <v>9</v>
      </c>
      <c r="C9" s="16">
        <f>AVERAGE(' Cashflow'!G22)</f>
        <v>-3836</v>
      </c>
      <c r="D9" s="17">
        <f>C9</f>
        <v>-3836</v>
      </c>
      <c r="E9" s="17">
        <f>D9</f>
        <v>-3836</v>
      </c>
      <c r="F9" s="17">
        <f>E9</f>
        <v>-3836</v>
      </c>
    </row>
    <row r="10" ht="20.1" customHeight="1">
      <c r="B10" t="s" s="9">
        <v>10</v>
      </c>
      <c r="C10" s="16">
        <f>C12+C14</f>
        <v>-3558.466284250640</v>
      </c>
      <c r="D10" s="17">
        <f>D12+D14</f>
        <v>-3664.113409935650</v>
      </c>
      <c r="E10" s="17">
        <f>E12+E14</f>
        <v>-3933.513580432450</v>
      </c>
      <c r="F10" s="17">
        <f>F12+F14</f>
        <v>-3876.939544628120</v>
      </c>
    </row>
    <row r="11" ht="20.1" customHeight="1">
      <c r="B11" t="s" s="9">
        <v>11</v>
      </c>
      <c r="C11" s="18">
        <v>0.35</v>
      </c>
      <c r="D11" s="17"/>
      <c r="E11" s="17"/>
      <c r="F11" s="17"/>
    </row>
    <row r="12" ht="20.1" customHeight="1">
      <c r="B12" t="s" s="9">
        <v>12</v>
      </c>
      <c r="C12" s="16">
        <f>IF(C21&gt;0,-C21*$C$11,0)</f>
        <v>-3558.466284250640</v>
      </c>
      <c r="D12" s="17">
        <f>IF(D21&gt;0,-D21*$C$11,0)</f>
        <v>-3664.113409935650</v>
      </c>
      <c r="E12" s="17">
        <f>IF(E21&gt;0,-E21*$C$11,0)</f>
        <v>-3933.513580432450</v>
      </c>
      <c r="F12" s="17">
        <f>IF(F21&gt;0,-F21*$C$11,0)</f>
        <v>-3876.939544628120</v>
      </c>
    </row>
    <row r="13" ht="20.05" customHeight="1">
      <c r="B13" t="s" s="9">
        <v>13</v>
      </c>
      <c r="C13" s="16">
        <f>C8+C9+C12</f>
        <v>7697.980242179760</v>
      </c>
      <c r="D13" s="17">
        <f>D8+D9+D12</f>
        <v>7894.182047023350</v>
      </c>
      <c r="E13" s="17">
        <f>E8+E9+E12</f>
        <v>8394.496649374551</v>
      </c>
      <c r="F13" s="17">
        <f>F8+F9+F12</f>
        <v>8289.430582880779</v>
      </c>
    </row>
    <row r="14" ht="20.1" customHeight="1">
      <c r="B14" t="s" s="9">
        <v>14</v>
      </c>
      <c r="C14" s="16">
        <f>-MIN(0,C13)</f>
        <v>0</v>
      </c>
      <c r="D14" s="17">
        <f>-MIN(C27,D13)</f>
        <v>0</v>
      </c>
      <c r="E14" s="17">
        <f>-MIN(D27,E13)</f>
        <v>0</v>
      </c>
      <c r="F14" s="17">
        <f>-MIN(E27,F13)</f>
        <v>0</v>
      </c>
    </row>
    <row r="15" ht="20.1" customHeight="1">
      <c r="B15" t="s" s="9">
        <v>15</v>
      </c>
      <c r="C15" s="16">
        <f>'Balance Sheet '!C32</f>
        <v>158907</v>
      </c>
      <c r="D15" s="17">
        <f>C17</f>
        <v>166604.98024218</v>
      </c>
      <c r="E15" s="17">
        <f>D17</f>
        <v>174499.162289203</v>
      </c>
      <c r="F15" s="17">
        <f>E17</f>
        <v>182893.658938578</v>
      </c>
    </row>
    <row r="16" ht="20.1" customHeight="1">
      <c r="B16" t="s" s="9">
        <v>16</v>
      </c>
      <c r="C16" s="16">
        <f>C8+C9+C10</f>
        <v>7697.980242179760</v>
      </c>
      <c r="D16" s="17">
        <f>D8+D9+D10</f>
        <v>7894.182047023350</v>
      </c>
      <c r="E16" s="17">
        <f>E8+E9+E10</f>
        <v>8394.496649374551</v>
      </c>
      <c r="F16" s="17">
        <f>F8+F9+F10</f>
        <v>8289.430582880779</v>
      </c>
    </row>
    <row r="17" ht="20.1" customHeight="1">
      <c r="B17" t="s" s="9">
        <v>17</v>
      </c>
      <c r="C17" s="16">
        <f>C15+C16</f>
        <v>166604.98024218</v>
      </c>
      <c r="D17" s="17">
        <f>D15+D16</f>
        <v>174499.162289203</v>
      </c>
      <c r="E17" s="17">
        <f>E15+E16</f>
        <v>182893.658938578</v>
      </c>
      <c r="F17" s="17">
        <f>F15+F16</f>
        <v>191183.089521459</v>
      </c>
    </row>
    <row r="18" ht="20.1" customHeight="1">
      <c r="B18" t="s" s="19">
        <v>18</v>
      </c>
      <c r="C18" s="20"/>
      <c r="D18" s="21"/>
      <c r="E18" s="21"/>
      <c r="F18" s="21"/>
    </row>
    <row r="19" ht="20.1" customHeight="1">
      <c r="B19" t="s" s="9">
        <v>19</v>
      </c>
      <c r="C19" s="16">
        <f>-AVERAGE('Sales'!F32)</f>
        <v>-863.3</v>
      </c>
      <c r="D19" s="17">
        <f>C19</f>
        <v>-863.3</v>
      </c>
      <c r="E19" s="17">
        <f>D19</f>
        <v>-863.3</v>
      </c>
      <c r="F19" s="17">
        <f>E19</f>
        <v>-863.3</v>
      </c>
    </row>
    <row r="20" ht="20.1" customHeight="1">
      <c r="B20" t="s" s="9">
        <v>20</v>
      </c>
      <c r="C20" s="16">
        <f>-AVERAGE('Sales'!E32)</f>
        <v>-4062.1</v>
      </c>
      <c r="D20" s="17">
        <f>C20</f>
        <v>-4062.1</v>
      </c>
      <c r="E20" s="17">
        <f>D20</f>
        <v>-4062.1</v>
      </c>
      <c r="F20" s="17">
        <f>E20</f>
        <v>-4062.1</v>
      </c>
    </row>
    <row r="21" ht="20.1" customHeight="1">
      <c r="B21" t="s" s="9">
        <v>21</v>
      </c>
      <c r="C21" s="16">
        <f>C5+C7+C19+C20</f>
        <v>10167.0465264304</v>
      </c>
      <c r="D21" s="17">
        <f>D5+D7+D19+D20</f>
        <v>10468.895456959</v>
      </c>
      <c r="E21" s="17">
        <f>E5+E7+E19+E20</f>
        <v>11238.610229807</v>
      </c>
      <c r="F21" s="17">
        <f>F5+F7+F19+F20</f>
        <v>11076.9701275089</v>
      </c>
    </row>
    <row r="22" ht="20.1" customHeight="1">
      <c r="B22" t="s" s="19">
        <v>22</v>
      </c>
      <c r="C22" s="20"/>
      <c r="D22" s="21"/>
      <c r="E22" s="21"/>
      <c r="F22" s="21"/>
    </row>
    <row r="23" ht="20.1" customHeight="1">
      <c r="B23" t="s" s="9">
        <v>23</v>
      </c>
      <c r="C23" s="16">
        <f>'Balance Sheet '!E32+'Balance Sheet '!F32-C9</f>
        <v>1677230</v>
      </c>
      <c r="D23" s="17">
        <f>C23-D9</f>
        <v>1681066</v>
      </c>
      <c r="E23" s="17">
        <f>D23-E9</f>
        <v>1684902</v>
      </c>
      <c r="F23" s="17">
        <f>E23-F9</f>
        <v>1688738</v>
      </c>
    </row>
    <row r="24" ht="20.1" customHeight="1">
      <c r="B24" t="s" s="9">
        <v>19</v>
      </c>
      <c r="C24" s="16">
        <f>'Balance Sheet '!F32-C19-C20</f>
        <v>103151.4</v>
      </c>
      <c r="D24" s="17">
        <f>C24-D19-D20</f>
        <v>108076.8</v>
      </c>
      <c r="E24" s="17">
        <f>D24-E19-E20</f>
        <v>113002.2</v>
      </c>
      <c r="F24" s="17">
        <f>E24-F19-F20</f>
        <v>117927.6</v>
      </c>
    </row>
    <row r="25" ht="20.1" customHeight="1">
      <c r="B25" t="s" s="9">
        <v>24</v>
      </c>
      <c r="C25" s="16">
        <f>C23-C24</f>
        <v>1574078.6</v>
      </c>
      <c r="D25" s="17">
        <f>D23-D24</f>
        <v>1572989.2</v>
      </c>
      <c r="E25" s="17">
        <f>E23-E24</f>
        <v>1571899.8</v>
      </c>
      <c r="F25" s="17">
        <f>F23-F24</f>
        <v>1570810.4</v>
      </c>
    </row>
    <row r="26" ht="20.1" customHeight="1">
      <c r="B26" t="s" s="9">
        <v>25</v>
      </c>
      <c r="C26" s="16">
        <f>'Balance Sheet '!G32</f>
        <v>1339639</v>
      </c>
      <c r="D26" s="17">
        <f>C26</f>
        <v>1339639</v>
      </c>
      <c r="E26" s="17">
        <f>D26</f>
        <v>1339639</v>
      </c>
      <c r="F26" s="17">
        <f>E26</f>
        <v>1339639</v>
      </c>
    </row>
    <row r="27" ht="20.1" customHeight="1">
      <c r="B27" t="s" s="9">
        <v>14</v>
      </c>
      <c r="C27" s="16">
        <f>C14</f>
        <v>0</v>
      </c>
      <c r="D27" s="17">
        <f>C27+D14</f>
        <v>0</v>
      </c>
      <c r="E27" s="17">
        <f>D27+E14</f>
        <v>0</v>
      </c>
      <c r="F27" s="17">
        <f>E27+F14</f>
        <v>0</v>
      </c>
    </row>
    <row r="28" ht="20.1" customHeight="1">
      <c r="B28" t="s" s="9">
        <v>26</v>
      </c>
      <c r="C28" s="16">
        <f>'Balance Sheet '!H32+C21+C12</f>
        <v>401044.58024218</v>
      </c>
      <c r="D28" s="17">
        <f>C28+D21+D12</f>
        <v>407849.362289203</v>
      </c>
      <c r="E28" s="17">
        <f>D28+E21+E12</f>
        <v>415154.458938578</v>
      </c>
      <c r="F28" s="17">
        <f>E28+F21+F12</f>
        <v>422354.489521459</v>
      </c>
    </row>
    <row r="29" ht="20.1" customHeight="1">
      <c r="B29" t="s" s="9">
        <v>27</v>
      </c>
      <c r="C29" s="16">
        <f>C26+C27+C28-C17-C25</f>
        <v>0</v>
      </c>
      <c r="D29" s="17">
        <f>D26+D27+D28-D17-D25</f>
        <v>0</v>
      </c>
      <c r="E29" s="17">
        <f>E26+E27+E28-E17-E25</f>
        <v>0</v>
      </c>
      <c r="F29" s="17">
        <f>F26+F27+F28-F17-F25</f>
        <v>0</v>
      </c>
    </row>
    <row r="30" ht="20.1" customHeight="1">
      <c r="B30" t="s" s="19">
        <v>28</v>
      </c>
      <c r="C30" s="16"/>
      <c r="D30" s="17"/>
      <c r="E30" s="17"/>
      <c r="F30" s="17"/>
    </row>
    <row r="31" ht="20.1" customHeight="1">
      <c r="B31" t="s" s="9">
        <v>29</v>
      </c>
      <c r="C31" s="16">
        <f>' Cashflow'!Q32-C10</f>
        <v>11297.5662842506</v>
      </c>
      <c r="D31" s="17">
        <f>C31-D10</f>
        <v>14961.6796941863</v>
      </c>
      <c r="E31" s="17">
        <f>D31-E10</f>
        <v>18895.1932746188</v>
      </c>
      <c r="F31" s="17">
        <f>E31-F10</f>
        <v>22772.1328192469</v>
      </c>
    </row>
    <row r="32" ht="20.1" customHeight="1">
      <c r="B32" t="s" s="9">
        <v>30</v>
      </c>
      <c r="C32" s="16"/>
      <c r="D32" s="17"/>
      <c r="E32" s="17"/>
      <c r="F32" s="17">
        <v>383542451712000</v>
      </c>
    </row>
    <row r="33" ht="20.1" customHeight="1">
      <c r="B33" t="s" s="9">
        <v>30</v>
      </c>
      <c r="C33" s="16"/>
      <c r="D33" s="17"/>
      <c r="E33" s="17"/>
      <c r="F33" s="17">
        <f>F32/1000000000</f>
        <v>383542.451712</v>
      </c>
    </row>
    <row r="34" ht="20.1" customHeight="1">
      <c r="B34" t="s" s="9">
        <v>31</v>
      </c>
      <c r="C34" s="16"/>
      <c r="D34" s="17"/>
      <c r="E34" s="17"/>
      <c r="F34" s="22">
        <f>F33/(F17+F25)</f>
        <v>0.217675294484866</v>
      </c>
    </row>
    <row r="35" ht="20.1" customHeight="1">
      <c r="B35" t="s" s="9">
        <v>32</v>
      </c>
      <c r="C35" s="16"/>
      <c r="D35" s="17"/>
      <c r="E35" s="17"/>
      <c r="F35" s="15">
        <f>-(C12+D12+E12+F12)/F33</f>
        <v>0.039195225332019</v>
      </c>
    </row>
    <row r="36" ht="20.1" customHeight="1">
      <c r="B36" t="s" s="9">
        <v>33</v>
      </c>
      <c r="C36" s="16"/>
      <c r="D36" s="17"/>
      <c r="E36" s="17"/>
      <c r="F36" s="17">
        <f>SUM(C8:F9)</f>
        <v>47309.1223407053</v>
      </c>
    </row>
    <row r="37" ht="20.1" customHeight="1">
      <c r="B37" t="s" s="9">
        <v>28</v>
      </c>
      <c r="C37" s="16"/>
      <c r="D37" s="17"/>
      <c r="E37" s="17"/>
      <c r="F37" s="17">
        <f>F33/F36</f>
        <v>8.10715635242288</v>
      </c>
    </row>
    <row r="38" ht="20.1" customHeight="1">
      <c r="B38" t="s" s="9">
        <v>34</v>
      </c>
      <c r="C38" s="16"/>
      <c r="D38" s="17"/>
      <c r="E38" s="17"/>
      <c r="F38" s="17">
        <v>12</v>
      </c>
    </row>
    <row r="39" ht="20.1" customHeight="1">
      <c r="B39" t="s" s="9">
        <v>35</v>
      </c>
      <c r="C39" s="16"/>
      <c r="D39" s="17"/>
      <c r="E39" s="17"/>
      <c r="F39" s="17">
        <f>F36*F38</f>
        <v>567709.468088464</v>
      </c>
    </row>
    <row r="40" ht="20.1" customHeight="1">
      <c r="B40" t="s" s="9">
        <v>36</v>
      </c>
      <c r="C40" s="12"/>
      <c r="D40" s="13"/>
      <c r="E40" s="13"/>
      <c r="F40" s="13">
        <f>F33/F42</f>
        <v>46.63130112</v>
      </c>
    </row>
    <row r="41" ht="20.1" customHeight="1">
      <c r="B41" t="s" s="9">
        <v>37</v>
      </c>
      <c r="C41" s="12"/>
      <c r="D41" s="13"/>
      <c r="E41" s="13"/>
      <c r="F41" s="13">
        <f>F39/F40</f>
        <v>12174.4290734572</v>
      </c>
    </row>
    <row r="42" ht="20.1" customHeight="1">
      <c r="B42" t="s" s="9">
        <v>38</v>
      </c>
      <c r="C42" s="12"/>
      <c r="D42" s="13"/>
      <c r="E42" s="13"/>
      <c r="F42" s="17">
        <v>8225</v>
      </c>
    </row>
    <row r="43" ht="20.1" customHeight="1">
      <c r="B43" t="s" s="9">
        <v>39</v>
      </c>
      <c r="C43" s="12"/>
      <c r="D43" s="13"/>
      <c r="E43" s="13"/>
      <c r="F43" s="23">
        <f>F41/F42-1</f>
        <v>0.48017374753279</v>
      </c>
    </row>
    <row r="44" ht="20.1" customHeight="1">
      <c r="B44" t="s" s="9">
        <v>40</v>
      </c>
      <c r="C44" s="12"/>
      <c r="D44" s="13"/>
      <c r="E44" s="13"/>
      <c r="F44" s="23">
        <f>'Sales'!C32/'Sales'!C28-1</f>
        <v>0.113070628449666</v>
      </c>
    </row>
    <row r="45" ht="20.1" customHeight="1">
      <c r="B45" t="s" s="9">
        <v>41</v>
      </c>
      <c r="C45" s="12"/>
      <c r="D45" s="13"/>
      <c r="E45" s="13"/>
      <c r="F45" s="15">
        <f>'Sales'!F35/'Sales'!E35-1</f>
        <v>-0.010331442005233</v>
      </c>
    </row>
  </sheetData>
  <mergeCells count="1">
    <mergeCell ref="B1:F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L36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3.11719" style="24" customWidth="1"/>
    <col min="2" max="2" width="9.92969" style="24" customWidth="1"/>
    <col min="3" max="5" width="9.30469" style="24" customWidth="1"/>
    <col min="6" max="12" width="10.5312" style="24" customWidth="1"/>
    <col min="13" max="16384" width="16.3516" style="24" customWidth="1"/>
  </cols>
  <sheetData>
    <row r="1" ht="76.1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ht="56.25" customHeight="1">
      <c r="B3" t="s" s="5">
        <v>1</v>
      </c>
      <c r="C3" t="s" s="5">
        <v>5</v>
      </c>
      <c r="D3" t="s" s="5">
        <v>42</v>
      </c>
      <c r="E3" t="s" s="5">
        <v>43</v>
      </c>
      <c r="F3" t="s" s="5">
        <v>19</v>
      </c>
      <c r="G3" t="s" s="5">
        <v>44</v>
      </c>
      <c r="H3" t="s" s="5">
        <v>45</v>
      </c>
      <c r="I3" t="s" s="5">
        <v>46</v>
      </c>
      <c r="J3" t="s" s="5">
        <v>6</v>
      </c>
      <c r="K3" t="s" s="5">
        <v>6</v>
      </c>
      <c r="L3" t="s" s="5">
        <v>34</v>
      </c>
    </row>
    <row r="4" ht="20.25" customHeight="1">
      <c r="B4" s="25">
        <v>2015</v>
      </c>
      <c r="C4" s="26">
        <v>20764</v>
      </c>
      <c r="D4" s="27"/>
      <c r="E4" s="27">
        <v>1639</v>
      </c>
      <c r="F4" s="27">
        <v>331</v>
      </c>
      <c r="G4" s="27">
        <v>5370</v>
      </c>
      <c r="H4" s="28"/>
      <c r="I4" s="29"/>
      <c r="J4" s="29">
        <f>(G4+E4-C4+F4)/C4</f>
        <v>-0.646503563860528</v>
      </c>
      <c r="K4" s="29"/>
      <c r="L4" s="29"/>
    </row>
    <row r="5" ht="20.05" customHeight="1">
      <c r="B5" s="30"/>
      <c r="C5" s="12">
        <v>21623</v>
      </c>
      <c r="D5" s="13"/>
      <c r="E5" s="13">
        <v>95</v>
      </c>
      <c r="F5" s="13">
        <v>368</v>
      </c>
      <c r="G5" s="13">
        <v>4967</v>
      </c>
      <c r="H5" s="31"/>
      <c r="I5" s="15">
        <f>C5/C4-1</f>
        <v>0.0413696782893469</v>
      </c>
      <c r="J5" s="15">
        <f>(G5+E5-C5+F5)/C5</f>
        <v>-0.748878508995052</v>
      </c>
      <c r="K5" s="15"/>
      <c r="L5" s="15"/>
    </row>
    <row r="6" ht="20.05" customHeight="1">
      <c r="B6" s="30"/>
      <c r="C6" s="12">
        <v>23327</v>
      </c>
      <c r="D6" s="13"/>
      <c r="E6" s="13">
        <v>6739</v>
      </c>
      <c r="F6" s="13">
        <v>377</v>
      </c>
      <c r="G6" s="13">
        <v>4823</v>
      </c>
      <c r="H6" s="31"/>
      <c r="I6" s="15">
        <f>C6/C5-1</f>
        <v>0.0788049761827683</v>
      </c>
      <c r="J6" s="15">
        <f>(G6+E6-C6+F6)/C6</f>
        <v>-0.488189651476829</v>
      </c>
      <c r="K6" s="15"/>
      <c r="L6" s="15"/>
    </row>
    <row r="7" ht="20.05" customHeight="1">
      <c r="B7" s="30"/>
      <c r="C7" s="12">
        <v>24235</v>
      </c>
      <c r="D7" s="13"/>
      <c r="E7" s="13">
        <v>3371</v>
      </c>
      <c r="F7" s="13">
        <v>414</v>
      </c>
      <c r="G7" s="13">
        <v>5992</v>
      </c>
      <c r="H7" s="32">
        <f>C7/'Balance Sheet '!E7</f>
        <v>0.0318265149604976</v>
      </c>
      <c r="I7" s="15">
        <f>C7/C6-1</f>
        <v>0.0389248510309941</v>
      </c>
      <c r="J7" s="15">
        <f>(G7+E7-C7+F7)/C7</f>
        <v>-0.596575201155354</v>
      </c>
      <c r="K7" s="15"/>
      <c r="L7" s="15"/>
    </row>
    <row r="8" ht="20.05" customHeight="1">
      <c r="B8" s="33">
        <v>2016</v>
      </c>
      <c r="C8" s="12">
        <v>22308</v>
      </c>
      <c r="D8" s="13"/>
      <c r="E8" s="13">
        <v>4666</v>
      </c>
      <c r="F8" s="13">
        <v>416</v>
      </c>
      <c r="G8" s="13">
        <v>4027</v>
      </c>
      <c r="H8" s="32">
        <f>C8/'Balance Sheet '!E8</f>
        <v>0.029592368702767</v>
      </c>
      <c r="I8" s="15">
        <f>C8/C7-1</f>
        <v>-0.07951310088714671</v>
      </c>
      <c r="J8" s="15">
        <f>(G8+E8-C8+F8)/C8</f>
        <v>-0.591671149363457</v>
      </c>
      <c r="K8" s="15">
        <f>AVERAGE(J5:J8)</f>
        <v>-0.606328627747673</v>
      </c>
      <c r="L8" s="15"/>
    </row>
    <row r="9" ht="20.05" customHeight="1">
      <c r="B9" s="30"/>
      <c r="C9" s="12">
        <v>22842</v>
      </c>
      <c r="D9" s="13"/>
      <c r="E9" s="13">
        <v>5236</v>
      </c>
      <c r="F9" s="13">
        <v>410</v>
      </c>
      <c r="G9" s="13">
        <v>3475</v>
      </c>
      <c r="H9" s="32">
        <f>C9/'Balance Sheet '!E9</f>
        <v>0.0285334182765276</v>
      </c>
      <c r="I9" s="15">
        <f>C9/C8-1</f>
        <v>0.0239376008606778</v>
      </c>
      <c r="J9" s="15">
        <f>(G9+E9-C9+F9)/C9</f>
        <v>-0.60069170825672</v>
      </c>
      <c r="K9" s="15">
        <f>AVERAGE(J6:J9)</f>
        <v>-0.56928192756309</v>
      </c>
      <c r="L9" s="15"/>
    </row>
    <row r="10" ht="20.05" customHeight="1">
      <c r="B10" s="30"/>
      <c r="C10" s="12">
        <v>25289</v>
      </c>
      <c r="D10" s="13"/>
      <c r="E10" s="13">
        <v>6190</v>
      </c>
      <c r="F10" s="13">
        <v>389</v>
      </c>
      <c r="G10" s="13">
        <v>5135</v>
      </c>
      <c r="H10" s="32">
        <f>C10/'Balance Sheet '!E10</f>
        <v>0.0311927601318807</v>
      </c>
      <c r="I10" s="15">
        <f>C10/C9-1</f>
        <v>0.107127221784432</v>
      </c>
      <c r="J10" s="15">
        <f>(G10+E10-C10+F10)/C10</f>
        <v>-0.536794653802048</v>
      </c>
      <c r="K10" s="15">
        <f>AVERAGE(J7:J10)</f>
        <v>-0.581433178144395</v>
      </c>
      <c r="L10" s="15"/>
    </row>
    <row r="11" ht="20.05" customHeight="1">
      <c r="B11" s="30"/>
      <c r="C11" s="12">
        <v>25557</v>
      </c>
      <c r="D11" s="13"/>
      <c r="E11" s="13">
        <v>8734</v>
      </c>
      <c r="F11" s="13">
        <v>543</v>
      </c>
      <c r="G11" s="13">
        <v>2013</v>
      </c>
      <c r="H11" s="32">
        <f>C11/'Balance Sheet '!E11</f>
        <v>0.0298307988962709</v>
      </c>
      <c r="I11" s="15">
        <f>C11/C10-1</f>
        <v>0.010597492981138</v>
      </c>
      <c r="J11" s="15">
        <f>(G11+E11-C11+F11)/C11</f>
        <v>-0.558242360214423</v>
      </c>
      <c r="K11" s="15">
        <f>AVERAGE(J8:J11)</f>
        <v>-0.571849967909162</v>
      </c>
      <c r="L11" s="15"/>
    </row>
    <row r="12" ht="20.05" customHeight="1">
      <c r="B12" s="33">
        <v>2017</v>
      </c>
      <c r="C12" s="12">
        <v>24437</v>
      </c>
      <c r="D12" s="13"/>
      <c r="E12" s="13">
        <v>5376</v>
      </c>
      <c r="F12" s="13">
        <v>480</v>
      </c>
      <c r="G12" s="13">
        <v>4277</v>
      </c>
      <c r="H12" s="32">
        <f>C12/'Balance Sheet '!E12</f>
        <v>0.0284598246780699</v>
      </c>
      <c r="I12" s="15">
        <f>C12/C11-1</f>
        <v>-0.0438236099698713</v>
      </c>
      <c r="J12" s="15">
        <f>(G12+E12-C12+F12)/C12</f>
        <v>-0.585341899578508</v>
      </c>
      <c r="K12" s="15">
        <f>AVERAGE(J9:J12)</f>
        <v>-0.570267655462925</v>
      </c>
      <c r="L12" s="15"/>
    </row>
    <row r="13" ht="20.05" customHeight="1">
      <c r="B13" s="30"/>
      <c r="C13" s="12">
        <v>24864</v>
      </c>
      <c r="D13" s="13"/>
      <c r="E13" s="13">
        <v>3935</v>
      </c>
      <c r="F13" s="13">
        <v>457</v>
      </c>
      <c r="G13" s="13">
        <v>5580</v>
      </c>
      <c r="H13" s="32">
        <f>C13/'Balance Sheet '!E13</f>
        <v>0.0282680048795961</v>
      </c>
      <c r="I13" s="15">
        <f>C13/C12-1</f>
        <v>0.017473503294185</v>
      </c>
      <c r="J13" s="15">
        <f>(G13+E13-C13+F13)/C13</f>
        <v>-0.598938223938224</v>
      </c>
      <c r="K13" s="15">
        <f>AVERAGE(J10:J13)</f>
        <v>-0.569829284383301</v>
      </c>
      <c r="L13" s="15"/>
    </row>
    <row r="14" ht="20.05" customHeight="1">
      <c r="B14" s="30"/>
      <c r="C14" s="12">
        <v>25921</v>
      </c>
      <c r="D14" s="13"/>
      <c r="E14" s="13">
        <v>2788</v>
      </c>
      <c r="F14" s="13">
        <v>434</v>
      </c>
      <c r="G14" s="13">
        <v>5771</v>
      </c>
      <c r="H14" s="32">
        <f>C14/'Balance Sheet '!E14</f>
        <v>0.0290098531209011</v>
      </c>
      <c r="I14" s="15">
        <f>C14/C13-1</f>
        <v>0.0425112612612613</v>
      </c>
      <c r="J14" s="15">
        <f>(G14+E14-C14+F14)/C14</f>
        <v>-0.653061224489796</v>
      </c>
      <c r="K14" s="15">
        <f>AVERAGE(J11:J14)</f>
        <v>-0.598895927055238</v>
      </c>
      <c r="L14" s="15"/>
    </row>
    <row r="15" ht="20.05" customHeight="1">
      <c r="B15" s="30"/>
      <c r="C15" s="12">
        <v>24893</v>
      </c>
      <c r="D15" s="13"/>
      <c r="E15" s="13">
        <v>3679</v>
      </c>
      <c r="F15" s="13">
        <v>461</v>
      </c>
      <c r="G15" s="13">
        <v>5815</v>
      </c>
      <c r="H15" s="32">
        <f>C15/'Balance Sheet '!E15</f>
        <v>0.0264167161898294</v>
      </c>
      <c r="I15" s="15">
        <f>C15/C14-1</f>
        <v>-0.0396589637745457</v>
      </c>
      <c r="J15" s="15">
        <f>(G15+E15-C15+F15)/C15</f>
        <v>-0.600088378258948</v>
      </c>
      <c r="K15" s="15">
        <f>AVERAGE(J12:J15)</f>
        <v>-0.609357431566369</v>
      </c>
      <c r="L15" s="15"/>
    </row>
    <row r="16" ht="20.05" customHeight="1">
      <c r="B16" s="33">
        <v>2018</v>
      </c>
      <c r="C16" s="12">
        <v>24656</v>
      </c>
      <c r="D16" s="13"/>
      <c r="E16" s="13">
        <v>3845</v>
      </c>
      <c r="F16" s="13">
        <v>448</v>
      </c>
      <c r="G16" s="13">
        <v>6076</v>
      </c>
      <c r="H16" s="32">
        <f>C16/'Balance Sheet '!E16</f>
        <v>0.0266106019331972</v>
      </c>
      <c r="I16" s="15">
        <f>C16/C15-1</f>
        <v>-0.009520748804884909</v>
      </c>
      <c r="J16" s="15">
        <f>(G16+E16-C16+F16)/C16</f>
        <v>-0.579453277092797</v>
      </c>
      <c r="K16" s="15">
        <f>AVERAGE(J13:J16)</f>
        <v>-0.607885275944941</v>
      </c>
      <c r="L16" s="15"/>
    </row>
    <row r="17" ht="20.05" customHeight="1">
      <c r="B17" s="30"/>
      <c r="C17" s="12">
        <v>26412</v>
      </c>
      <c r="D17" s="13"/>
      <c r="E17" s="13">
        <v>3947</v>
      </c>
      <c r="F17" s="13">
        <v>451</v>
      </c>
      <c r="G17" s="13">
        <v>6503</v>
      </c>
      <c r="H17" s="32">
        <f>C17/'Balance Sheet '!E17</f>
        <v>0.0268934464788646</v>
      </c>
      <c r="I17" s="15">
        <f>C17/C16-1</f>
        <v>0.0712199870214147</v>
      </c>
      <c r="J17" s="15">
        <f>(G17+E17-C17+F17)/C17</f>
        <v>-0.587270937452673</v>
      </c>
      <c r="K17" s="15">
        <f>AVERAGE(J14:J17)</f>
        <v>-0.604968454323554</v>
      </c>
      <c r="L17" s="15"/>
    </row>
    <row r="18" ht="20.05" customHeight="1">
      <c r="B18" s="30"/>
      <c r="C18" s="12">
        <v>26575</v>
      </c>
      <c r="D18" s="13"/>
      <c r="E18" s="13">
        <v>3324</v>
      </c>
      <c r="F18" s="13">
        <v>447</v>
      </c>
      <c r="G18" s="13">
        <v>6121</v>
      </c>
      <c r="H18" s="32">
        <f>C18/'Balance Sheet '!E18</f>
        <v>0.0265195740901516</v>
      </c>
      <c r="I18" s="15">
        <f>C18/C17-1</f>
        <v>0.00617143722550356</v>
      </c>
      <c r="J18" s="15">
        <f>(G18+E18-C18+F18)/C18</f>
        <v>-0.627770460959548</v>
      </c>
      <c r="K18" s="15">
        <f>AVERAGE(J15:J18)</f>
        <v>-0.598645763440992</v>
      </c>
      <c r="L18" s="15"/>
    </row>
    <row r="19" ht="20.05" customHeight="1">
      <c r="B19" s="30"/>
      <c r="C19" s="12">
        <v>31021.5</v>
      </c>
      <c r="D19" s="13"/>
      <c r="E19" s="13">
        <v>3340</v>
      </c>
      <c r="F19" s="13">
        <v>472</v>
      </c>
      <c r="G19" s="13">
        <v>7152</v>
      </c>
      <c r="H19" s="32">
        <f>C19/'Balance Sheet '!E19</f>
        <v>0.0293841282230282</v>
      </c>
      <c r="I19" s="15">
        <f>C19/C18-1</f>
        <v>0.167318908748824</v>
      </c>
      <c r="J19" s="15">
        <f>(G19+E19-C19+F19)/C19</f>
        <v>-0.646567703044663</v>
      </c>
      <c r="K19" s="15">
        <f>AVERAGE(J16:J19)</f>
        <v>-0.61026559463742</v>
      </c>
      <c r="L19" s="15"/>
    </row>
    <row r="20" ht="20.05" customHeight="1">
      <c r="B20" s="33">
        <v>2019</v>
      </c>
      <c r="C20" s="12">
        <v>28109</v>
      </c>
      <c r="D20" s="13"/>
      <c r="E20" s="13">
        <v>2722</v>
      </c>
      <c r="F20" s="13">
        <v>501</v>
      </c>
      <c r="G20" s="13">
        <v>7461</v>
      </c>
      <c r="H20" s="32">
        <f>C20/'Balance Sheet '!E20</f>
        <v>0.026873311395416</v>
      </c>
      <c r="I20" s="15">
        <f>C20/C19-1</f>
        <v>-0.0938864980739165</v>
      </c>
      <c r="J20" s="15">
        <f>(G20+E20-C20+F20)/C20</f>
        <v>-0.619908214450888</v>
      </c>
      <c r="K20" s="15">
        <f>AVERAGE(J17:J20)</f>
        <v>-0.620379328976943</v>
      </c>
      <c r="L20" s="15"/>
    </row>
    <row r="21" ht="20.05" customHeight="1">
      <c r="B21" s="30"/>
      <c r="C21" s="12">
        <v>28582</v>
      </c>
      <c r="D21" s="13"/>
      <c r="E21" s="13">
        <v>3459</v>
      </c>
      <c r="F21" s="13">
        <v>514</v>
      </c>
      <c r="G21" s="13">
        <v>6527</v>
      </c>
      <c r="H21" s="32">
        <f>C21/'Balance Sheet '!E21</f>
        <v>0.0263549780037086</v>
      </c>
      <c r="I21" s="15">
        <f>C21/C20-1</f>
        <v>0.0168273506706037</v>
      </c>
      <c r="J21" s="15">
        <f>(G21+E21-C21+F21)/C21</f>
        <v>-0.632635924707858</v>
      </c>
      <c r="K21" s="15">
        <f>AVERAGE(J18:J21)</f>
        <v>-0.631720575790739</v>
      </c>
      <c r="L21" s="15"/>
    </row>
    <row r="22" ht="20.05" customHeight="1">
      <c r="B22" s="30"/>
      <c r="C22" s="12">
        <v>30079</v>
      </c>
      <c r="D22" s="13"/>
      <c r="E22" s="13">
        <v>4030</v>
      </c>
      <c r="F22" s="13">
        <v>512</v>
      </c>
      <c r="G22" s="13">
        <v>6950</v>
      </c>
      <c r="H22" s="32">
        <f>C22/'Balance Sheet '!E22</f>
        <v>0.0275874150246351</v>
      </c>
      <c r="I22" s="15">
        <f>C22/C21-1</f>
        <v>0.0523756210202225</v>
      </c>
      <c r="J22" s="15">
        <f>(G22+E22-C22+F22)/C22</f>
        <v>-0.617939426177732</v>
      </c>
      <c r="K22" s="15">
        <f>AVERAGE(J19:J22)</f>
        <v>-0.629262817095285</v>
      </c>
      <c r="L22" s="15"/>
    </row>
    <row r="23" ht="20.05" customHeight="1">
      <c r="B23" s="30"/>
      <c r="C23" s="12">
        <v>31245</v>
      </c>
      <c r="D23" s="13"/>
      <c r="E23" s="13">
        <v>1599</v>
      </c>
      <c r="F23" s="13">
        <v>533</v>
      </c>
      <c r="G23" s="13">
        <v>7518</v>
      </c>
      <c r="H23" s="32">
        <f>C23/'Balance Sheet '!E23</f>
        <v>0.026685216927882</v>
      </c>
      <c r="I23" s="15">
        <f>C23/C22-1</f>
        <v>0.0387645865886499</v>
      </c>
      <c r="J23" s="15">
        <f>(G23+E23-C23+F23)/C23</f>
        <v>-0.691150584093455</v>
      </c>
      <c r="K23" s="15">
        <f>AVERAGE(J20:J23)</f>
        <v>-0.640408537357483</v>
      </c>
      <c r="L23" s="15"/>
    </row>
    <row r="24" ht="20.05" customHeight="1">
      <c r="B24" s="33">
        <v>2020</v>
      </c>
      <c r="C24" s="16">
        <f>23709.5+3118+6965.7</f>
        <v>33793.2</v>
      </c>
      <c r="D24" s="13"/>
      <c r="E24" s="13">
        <v>3334.1</v>
      </c>
      <c r="F24" s="13">
        <v>717</v>
      </c>
      <c r="G24" s="13">
        <v>8074.4</v>
      </c>
      <c r="H24" s="32">
        <f>C24/'Balance Sheet '!E24</f>
        <v>0.0292311272078051</v>
      </c>
      <c r="I24" s="15">
        <f>C24/C23-1</f>
        <v>0.08155544887181949</v>
      </c>
      <c r="J24" s="15">
        <f>(G24+E24-C24+F24)/C24</f>
        <v>-0.641185208858587</v>
      </c>
      <c r="K24" s="15">
        <f>AVERAGE(J21:J24)</f>
        <v>-0.6457277859594081</v>
      </c>
      <c r="L24" s="15"/>
    </row>
    <row r="25" ht="20.05" customHeight="1">
      <c r="B25" s="30"/>
      <c r="C25" s="12">
        <f>45199.1+12777.6+5615.5-C24</f>
        <v>29799</v>
      </c>
      <c r="D25" s="17">
        <v>30368</v>
      </c>
      <c r="E25" s="13">
        <v>6391.9</v>
      </c>
      <c r="F25" s="13">
        <f>1435-F24</f>
        <v>718</v>
      </c>
      <c r="G25" s="13">
        <v>2478.07</v>
      </c>
      <c r="H25" s="32">
        <f>C25/'Balance Sheet '!E25</f>
        <v>0.0262009480032124</v>
      </c>
      <c r="I25" s="15">
        <f>C25/C24-1</f>
        <v>-0.118195376584638</v>
      </c>
      <c r="J25" s="15">
        <f>(G25+E25-C25+F25)/C25</f>
        <v>-0.6782452431289639</v>
      </c>
      <c r="K25" s="15">
        <f>AVERAGE(J22:J25)</f>
        <v>-0.657130115564685</v>
      </c>
      <c r="L25" s="15"/>
    </row>
    <row r="26" ht="20.05" customHeight="1">
      <c r="B26" s="30"/>
      <c r="C26" s="12">
        <v>27096.92</v>
      </c>
      <c r="D26" s="17">
        <v>29248</v>
      </c>
      <c r="E26" s="13">
        <f>14860-SUM(E24:E25)</f>
        <v>5134</v>
      </c>
      <c r="F26" s="13">
        <f>2161-SUM(F24:F25)</f>
        <v>726</v>
      </c>
      <c r="G26" s="13">
        <f>14433.4-SUM(G24:G25)</f>
        <v>3880.93</v>
      </c>
      <c r="H26" s="32">
        <f>C26/'Balance Sheet '!E26</f>
        <v>0.0226017844427164</v>
      </c>
      <c r="I26" s="15">
        <f>C26/C25-1</f>
        <v>-0.09067686835128699</v>
      </c>
      <c r="J26" s="15">
        <f>(G26+E26-C26+F26)/C26</f>
        <v>-0.640515231989466</v>
      </c>
      <c r="K26" s="15">
        <f>AVERAGE(J23:J26)</f>
        <v>-0.662774067017618</v>
      </c>
      <c r="L26" s="15"/>
    </row>
    <row r="27" ht="20.05" customHeight="1">
      <c r="B27" s="30"/>
      <c r="C27" s="12">
        <v>29933.4</v>
      </c>
      <c r="D27" s="17">
        <v>29823</v>
      </c>
      <c r="E27" s="13">
        <v>6814.6</v>
      </c>
      <c r="F27" s="13">
        <v>689</v>
      </c>
      <c r="G27" s="13">
        <v>3212.2</v>
      </c>
      <c r="H27" s="32">
        <f>C27/'Balance Sheet '!E27</f>
        <v>0.0243423909596139</v>
      </c>
      <c r="I27" s="15">
        <f>C27/C26-1</f>
        <v>0.104679055774605</v>
      </c>
      <c r="J27" s="15">
        <f>(G27+E27-C27+F27)/C27</f>
        <v>-0.642011933158278</v>
      </c>
      <c r="K27" s="15">
        <f>AVERAGE(J24:J27)</f>
        <v>-0.650489404283824</v>
      </c>
      <c r="L27" s="15"/>
    </row>
    <row r="28" ht="20.05" customHeight="1">
      <c r="B28" s="33">
        <v>2021</v>
      </c>
      <c r="C28" s="12">
        <f>24142.5+6087.2+3559.8</f>
        <v>33789.5</v>
      </c>
      <c r="D28" s="21">
        <v>29634</v>
      </c>
      <c r="E28" s="13">
        <v>5096.7</v>
      </c>
      <c r="F28" s="13">
        <f>356.8+340.8</f>
        <v>697.6</v>
      </c>
      <c r="G28" s="17">
        <v>6519.2</v>
      </c>
      <c r="H28" s="32">
        <f>C28/'Balance Sheet '!E28</f>
        <v>0.024831714691649</v>
      </c>
      <c r="I28" s="15">
        <f>C28/C27-1</f>
        <v>0.128822652956229</v>
      </c>
      <c r="J28" s="15">
        <f>(G28+E28-C28+F28)/C28</f>
        <v>-0.63558205951553</v>
      </c>
      <c r="K28" s="15">
        <f>AVERAGE(J25:J28)</f>
        <v>-0.64908861694806</v>
      </c>
      <c r="L28" s="15"/>
    </row>
    <row r="29" ht="20.05" customHeight="1">
      <c r="B29" s="30"/>
      <c r="C29" s="12">
        <f>48113.1+6431.3+13437.2-C28</f>
        <v>34192.1</v>
      </c>
      <c r="D29" s="13">
        <v>34283.8005606935</v>
      </c>
      <c r="E29" s="13">
        <f>10715.5-E28</f>
        <v>5618.8</v>
      </c>
      <c r="F29" s="13">
        <f>681.3+677.1-F28</f>
        <v>660.8</v>
      </c>
      <c r="G29" s="17">
        <f>13685.2-G28</f>
        <v>7166</v>
      </c>
      <c r="H29" s="32">
        <f>C29/'Balance Sheet '!E29</f>
        <v>0.0245691059773129</v>
      </c>
      <c r="I29" s="15">
        <f>C29/C28-1</f>
        <v>0.0119149439914766</v>
      </c>
      <c r="J29" s="15">
        <f>(G29+E29-C29+F29)/C29</f>
        <v>-0.606762965714302</v>
      </c>
      <c r="K29" s="15">
        <f>AVERAGE(J26:J29)</f>
        <v>-0.631218047594394</v>
      </c>
      <c r="L29" s="15"/>
    </row>
    <row r="30" ht="20.05" customHeight="1">
      <c r="B30" s="30"/>
      <c r="C30" s="12">
        <f>72268.8+9800.8+20736.4-SUM(C28:C29)</f>
        <v>34824.4</v>
      </c>
      <c r="D30" s="13">
        <v>34534.021</v>
      </c>
      <c r="E30" s="13">
        <f>15740.6-SUM(E28:E29)</f>
        <v>5025.1</v>
      </c>
      <c r="F30" s="13">
        <f>2168.5-SUM(F28:F29)</f>
        <v>810.1</v>
      </c>
      <c r="G30" s="17">
        <f>21053.5-SUM(G28:G29)</f>
        <v>7368.3</v>
      </c>
      <c r="H30" s="32">
        <f>C30/'Balance Sheet '!E30</f>
        <v>0.0240856810735296</v>
      </c>
      <c r="I30" s="15">
        <f>C30/C29-1</f>
        <v>0.0184925757704265</v>
      </c>
      <c r="J30" s="15">
        <f>(G30+E30-C30+F30)/C30</f>
        <v>-0.620854917816244</v>
      </c>
      <c r="K30" s="15">
        <f>AVERAGE(J27:J30)</f>
        <v>-0.626302969051089</v>
      </c>
      <c r="L30" s="15"/>
    </row>
    <row r="31" ht="20.05" customHeight="1">
      <c r="B31" s="30"/>
      <c r="C31" s="12">
        <f>97749.1+14857.9+29028-SUM(C28:C30)</f>
        <v>38829</v>
      </c>
      <c r="D31" s="13">
        <v>36217.376</v>
      </c>
      <c r="E31" s="13">
        <f>20428.3-SUM(E28:E30)</f>
        <v>4687.7</v>
      </c>
      <c r="F31" s="13">
        <f>2764.4-SUM(F28:F30)</f>
        <v>595.9</v>
      </c>
      <c r="G31" s="17">
        <f>30551.1-SUM(G28:G30)</f>
        <v>9497.6</v>
      </c>
      <c r="H31" s="32">
        <f>C31/'Balance Sheet '!E31</f>
        <v>0.0253456476883822</v>
      </c>
      <c r="I31" s="15">
        <f>C31/C30-1</f>
        <v>0.114994084607344</v>
      </c>
      <c r="J31" s="15">
        <f>(G31+E31-C31+F31)/C31</f>
        <v>-0.619325761672976</v>
      </c>
      <c r="K31" s="15">
        <f>AVERAGE(J28:J31)</f>
        <v>-0.620631426179763</v>
      </c>
      <c r="L31" s="15"/>
    </row>
    <row r="32" ht="20.05" customHeight="1">
      <c r="B32" s="33">
        <v>2022</v>
      </c>
      <c r="C32" s="16">
        <f>25901+3786.8+7922.3</f>
        <v>37610.1</v>
      </c>
      <c r="D32" s="13">
        <v>39217.29</v>
      </c>
      <c r="E32" s="13">
        <v>4062.1</v>
      </c>
      <c r="F32" s="13">
        <f>339.1+345.2+179</f>
        <v>863.3</v>
      </c>
      <c r="G32" s="17">
        <v>10894.1</v>
      </c>
      <c r="H32" s="32">
        <f>C32/'Balance Sheet '!E32</f>
        <v>0.0238768817040468</v>
      </c>
      <c r="I32" s="15">
        <f>C32/C31-1</f>
        <v>-0.0313914857451905</v>
      </c>
      <c r="J32" s="15">
        <f>(G32+E32-C32+F32)/C32</f>
        <v>-0.579381602282366</v>
      </c>
      <c r="K32" s="15">
        <f>AVERAGE(J29:J32)</f>
        <v>-0.606581311871472</v>
      </c>
      <c r="L32" s="15">
        <f>K32</f>
        <v>-0.606581311871472</v>
      </c>
    </row>
    <row r="33" ht="20.05" customHeight="1">
      <c r="B33" s="30"/>
      <c r="C33" s="34"/>
      <c r="D33" s="13">
        <f>'Model'!C5</f>
        <v>38362.302</v>
      </c>
      <c r="E33" s="13"/>
      <c r="F33" s="13"/>
      <c r="G33" s="35"/>
      <c r="H33" s="35"/>
      <c r="I33" s="11"/>
      <c r="J33" s="11"/>
      <c r="K33" s="35"/>
      <c r="L33" s="11">
        <f>'Model'!C6</f>
        <v>-0.606581311871472</v>
      </c>
    </row>
    <row r="34" ht="20.05" customHeight="1">
      <c r="B34" s="30"/>
      <c r="C34" s="34"/>
      <c r="D34" s="13">
        <f>SUM('Model'!D5)</f>
        <v>39129.54804</v>
      </c>
      <c r="E34" s="13"/>
      <c r="F34" s="13"/>
      <c r="G34" s="35"/>
      <c r="H34" s="35"/>
      <c r="I34" s="11"/>
      <c r="J34" s="11"/>
      <c r="K34" s="11"/>
      <c r="L34" s="11"/>
    </row>
    <row r="35" ht="20.05" customHeight="1">
      <c r="B35" s="30"/>
      <c r="C35" s="34"/>
      <c r="D35" s="13">
        <f>'Model'!E5</f>
        <v>41086.025442</v>
      </c>
      <c r="E35" s="13">
        <f>SUM(C25:C32)</f>
        <v>266074.42</v>
      </c>
      <c r="F35" s="13">
        <f>SUM(D25:D32)</f>
        <v>263325.487560694</v>
      </c>
      <c r="G35" s="35"/>
      <c r="H35" s="35"/>
      <c r="I35" s="11"/>
      <c r="J35" s="11"/>
      <c r="K35" s="11"/>
      <c r="L35" s="11"/>
    </row>
    <row r="36" ht="20.05" customHeight="1">
      <c r="B36" s="33">
        <v>2023</v>
      </c>
      <c r="C36" s="34"/>
      <c r="D36" s="13">
        <f>'Model'!F5</f>
        <v>40675.16518758</v>
      </c>
      <c r="E36" s="13"/>
      <c r="F36" s="13"/>
      <c r="G36" s="35"/>
      <c r="H36" s="35"/>
      <c r="I36" s="11"/>
      <c r="J36" s="11"/>
      <c r="K36" s="11"/>
      <c r="L36" s="11"/>
    </row>
  </sheetData>
  <mergeCells count="1">
    <mergeCell ref="B2:L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S33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6.16406" style="36" customWidth="1"/>
    <col min="2" max="19" width="9.34375" style="36" customWidth="1"/>
    <col min="20" max="16384" width="16.3516" style="36" customWidth="1"/>
  </cols>
  <sheetData>
    <row r="1" ht="16.6" customHeight="1"/>
    <row r="2" ht="27.65" customHeight="1">
      <c r="B2" t="s" s="2">
        <v>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56.25" customHeight="1">
      <c r="B3" t="s" s="5">
        <v>1</v>
      </c>
      <c r="C3" t="s" s="5">
        <v>47</v>
      </c>
      <c r="D3" t="s" s="5">
        <v>48</v>
      </c>
      <c r="E3" t="s" s="5">
        <v>49</v>
      </c>
      <c r="F3" t="s" s="5">
        <v>50</v>
      </c>
      <c r="G3" t="s" s="5">
        <v>51</v>
      </c>
      <c r="H3" t="s" s="5">
        <v>25</v>
      </c>
      <c r="I3" t="s" s="5">
        <v>26</v>
      </c>
      <c r="J3" t="s" s="5">
        <v>10</v>
      </c>
      <c r="K3" t="s" s="5">
        <v>52</v>
      </c>
      <c r="L3" t="s" s="5">
        <v>16</v>
      </c>
      <c r="M3" t="s" s="5">
        <v>53</v>
      </c>
      <c r="N3" t="s" s="5">
        <v>54</v>
      </c>
      <c r="O3" t="s" s="5">
        <v>3</v>
      </c>
      <c r="P3" t="s" s="5">
        <v>34</v>
      </c>
      <c r="Q3" t="s" s="5">
        <v>55</v>
      </c>
      <c r="R3" t="s" s="5">
        <v>34</v>
      </c>
      <c r="S3" s="37"/>
    </row>
    <row r="4" ht="20.25" customHeight="1">
      <c r="B4" s="25">
        <v>2015</v>
      </c>
      <c r="C4" s="38">
        <v>46177</v>
      </c>
      <c r="D4" s="39"/>
      <c r="E4" s="39"/>
      <c r="F4" s="39">
        <v>23974</v>
      </c>
      <c r="G4" s="39">
        <v>-21208</v>
      </c>
      <c r="H4" s="39"/>
      <c r="I4" s="39"/>
      <c r="J4" s="39">
        <v>-6097</v>
      </c>
      <c r="K4" s="39">
        <f>M4-L4</f>
        <v>166561</v>
      </c>
      <c r="L4" s="39">
        <f>F4+G4+J4</f>
        <v>-3331</v>
      </c>
      <c r="M4" s="39">
        <f>K5</f>
        <v>163230</v>
      </c>
      <c r="N4" s="39">
        <f>D4+E4</f>
        <v>0</v>
      </c>
      <c r="O4" s="40"/>
      <c r="P4" s="39"/>
      <c r="Q4" s="39">
        <f>-J4</f>
        <v>6097</v>
      </c>
      <c r="R4" s="39"/>
      <c r="S4" s="39">
        <v>1</v>
      </c>
    </row>
    <row r="5" ht="20.05" customHeight="1">
      <c r="B5" s="30"/>
      <c r="C5" s="16">
        <v>31092</v>
      </c>
      <c r="D5" s="17"/>
      <c r="E5" s="17"/>
      <c r="F5" s="17">
        <v>9045</v>
      </c>
      <c r="G5" s="17">
        <v>-5128</v>
      </c>
      <c r="H5" s="17"/>
      <c r="I5" s="17"/>
      <c r="J5" s="17">
        <v>-548</v>
      </c>
      <c r="K5" s="17">
        <f>M5-L5</f>
        <v>163230</v>
      </c>
      <c r="L5" s="17">
        <f>F5+G5+J5</f>
        <v>3369</v>
      </c>
      <c r="M5" s="17">
        <f>K6</f>
        <v>166599</v>
      </c>
      <c r="N5" s="17">
        <f>D5+E5</f>
        <v>0</v>
      </c>
      <c r="O5" s="21"/>
      <c r="P5" s="17"/>
      <c r="Q5" s="17">
        <f>-J5+Q4</f>
        <v>6645</v>
      </c>
      <c r="R5" s="17"/>
      <c r="S5" s="17">
        <f>1+S4</f>
        <v>2</v>
      </c>
    </row>
    <row r="6" ht="20.05" customHeight="1">
      <c r="B6" s="30"/>
      <c r="C6" s="16">
        <v>21648</v>
      </c>
      <c r="D6" s="17"/>
      <c r="E6" s="17"/>
      <c r="F6" s="17">
        <v>15107</v>
      </c>
      <c r="G6" s="17">
        <v>-3821</v>
      </c>
      <c r="H6" s="17"/>
      <c r="I6" s="17"/>
      <c r="J6" s="17">
        <v>-9688</v>
      </c>
      <c r="K6" s="17">
        <f>M6-L6</f>
        <v>166599</v>
      </c>
      <c r="L6" s="17">
        <f>F6+G6+J6</f>
        <v>1598</v>
      </c>
      <c r="M6" s="17">
        <f>K7</f>
        <v>168197</v>
      </c>
      <c r="N6" s="17">
        <f>D6+E6</f>
        <v>0</v>
      </c>
      <c r="O6" s="21"/>
      <c r="P6" s="17"/>
      <c r="Q6" s="17">
        <f>-J6+Q5</f>
        <v>16333</v>
      </c>
      <c r="R6" s="17"/>
      <c r="S6" s="17">
        <f>1+S5</f>
        <v>3</v>
      </c>
    </row>
    <row r="7" ht="20.05" customHeight="1">
      <c r="B7" s="30"/>
      <c r="C7" s="16">
        <v>17756</v>
      </c>
      <c r="D7" s="17"/>
      <c r="E7" s="17"/>
      <c r="F7" s="17">
        <v>-37925</v>
      </c>
      <c r="G7" s="17">
        <v>1208</v>
      </c>
      <c r="H7" s="17"/>
      <c r="I7" s="17"/>
      <c r="J7" s="17">
        <v>17111</v>
      </c>
      <c r="K7" s="17">
        <f>M7-L7</f>
        <v>168197</v>
      </c>
      <c r="L7" s="17">
        <f>F7+G7+J7</f>
        <v>-19606</v>
      </c>
      <c r="M7" s="17">
        <f>K8</f>
        <v>148591</v>
      </c>
      <c r="N7" s="17">
        <f>D7+E7</f>
        <v>0</v>
      </c>
      <c r="O7" s="21"/>
      <c r="P7" s="17"/>
      <c r="Q7" s="17">
        <f>-J7+Q6</f>
        <v>-778</v>
      </c>
      <c r="R7" s="17"/>
      <c r="S7" s="17">
        <f>1+S6</f>
        <v>4</v>
      </c>
    </row>
    <row r="8" ht="20.05" customHeight="1">
      <c r="B8" s="33">
        <v>2016</v>
      </c>
      <c r="C8" s="16">
        <v>31184</v>
      </c>
      <c r="D8" s="17"/>
      <c r="E8" s="17"/>
      <c r="F8" s="17">
        <v>72</v>
      </c>
      <c r="G8" s="17">
        <v>6002</v>
      </c>
      <c r="H8" s="17"/>
      <c r="I8" s="17"/>
      <c r="J8" s="17">
        <v>-1769</v>
      </c>
      <c r="K8" s="17">
        <f>M8-L8</f>
        <v>148591</v>
      </c>
      <c r="L8" s="17">
        <f>F8+G8+J8</f>
        <v>4305</v>
      </c>
      <c r="M8" s="17">
        <f>K9</f>
        <v>152896</v>
      </c>
      <c r="N8" s="17">
        <f>D8+E8</f>
        <v>0</v>
      </c>
      <c r="O8" s="17">
        <f>AVERAGE(N5:N8)</f>
        <v>0</v>
      </c>
      <c r="P8" s="17"/>
      <c r="Q8" s="17">
        <f>-J8+Q7</f>
        <v>991</v>
      </c>
      <c r="R8" s="17"/>
      <c r="S8" s="17">
        <f>1+S7</f>
        <v>5</v>
      </c>
    </row>
    <row r="9" ht="20.05" customHeight="1">
      <c r="B9" s="30"/>
      <c r="C9" s="16">
        <v>37536</v>
      </c>
      <c r="D9" s="17"/>
      <c r="E9" s="17"/>
      <c r="F9" s="17">
        <v>20846</v>
      </c>
      <c r="G9" s="17">
        <v>-4237</v>
      </c>
      <c r="H9" s="17"/>
      <c r="I9" s="17"/>
      <c r="J9" s="17">
        <v>1404</v>
      </c>
      <c r="K9" s="17">
        <f>M9-L9</f>
        <v>152896</v>
      </c>
      <c r="L9" s="17">
        <f>F9+G9+J9</f>
        <v>18013</v>
      </c>
      <c r="M9" s="17">
        <f>K10</f>
        <v>170909</v>
      </c>
      <c r="N9" s="17">
        <f>D9+E9</f>
        <v>0</v>
      </c>
      <c r="O9" s="17">
        <f>AVERAGE(N6:N9)</f>
        <v>0</v>
      </c>
      <c r="P9" s="17"/>
      <c r="Q9" s="17">
        <f>-J9+Q8</f>
        <v>-413</v>
      </c>
      <c r="R9" s="17"/>
      <c r="S9" s="17">
        <f>1+S8</f>
        <v>6</v>
      </c>
    </row>
    <row r="10" ht="20.05" customHeight="1">
      <c r="B10" s="30"/>
      <c r="C10" s="16">
        <v>45746</v>
      </c>
      <c r="D10" s="17"/>
      <c r="E10" s="17"/>
      <c r="F10" s="17">
        <v>-7426</v>
      </c>
      <c r="G10" s="17">
        <v>-5731</v>
      </c>
      <c r="H10" s="17"/>
      <c r="I10" s="17"/>
      <c r="J10" s="17">
        <v>6678</v>
      </c>
      <c r="K10" s="17">
        <f>M10-L10</f>
        <v>170909</v>
      </c>
      <c r="L10" s="17">
        <f>F10+G10+J10</f>
        <v>-6479</v>
      </c>
      <c r="M10" s="17">
        <f>K11</f>
        <v>164430</v>
      </c>
      <c r="N10" s="17">
        <f>D10+E10</f>
        <v>0</v>
      </c>
      <c r="O10" s="17">
        <f>AVERAGE(N7:N10)</f>
        <v>0</v>
      </c>
      <c r="P10" s="17"/>
      <c r="Q10" s="17">
        <f>-J10+Q9</f>
        <v>-7091</v>
      </c>
      <c r="R10" s="17"/>
      <c r="S10" s="17">
        <f>1+S9</f>
        <v>7</v>
      </c>
    </row>
    <row r="11" ht="20.05" customHeight="1">
      <c r="B11" s="30"/>
      <c r="C11" s="16">
        <v>25987</v>
      </c>
      <c r="D11" s="17"/>
      <c r="E11" s="17"/>
      <c r="F11" s="17">
        <v>28029</v>
      </c>
      <c r="G11" s="17">
        <v>-2197</v>
      </c>
      <c r="H11" s="17"/>
      <c r="I11" s="17"/>
      <c r="J11" s="17">
        <v>-8288</v>
      </c>
      <c r="K11" s="17">
        <f>M11-L11</f>
        <v>164430</v>
      </c>
      <c r="L11" s="17">
        <f>F11+G11+J11</f>
        <v>17544</v>
      </c>
      <c r="M11" s="17">
        <f>K12</f>
        <v>181974</v>
      </c>
      <c r="N11" s="17">
        <f>D11+E11</f>
        <v>0</v>
      </c>
      <c r="O11" s="17">
        <f>AVERAGE(N8:N11)</f>
        <v>0</v>
      </c>
      <c r="P11" s="17"/>
      <c r="Q11" s="17">
        <f>-J11+Q10</f>
        <v>1197</v>
      </c>
      <c r="R11" s="17"/>
      <c r="S11" s="17">
        <f>1+S10</f>
        <v>8</v>
      </c>
    </row>
    <row r="12" ht="20.05" customHeight="1">
      <c r="B12" s="33">
        <v>2017</v>
      </c>
      <c r="C12" s="16">
        <v>32448</v>
      </c>
      <c r="D12" s="17"/>
      <c r="E12" s="17"/>
      <c r="F12" s="17">
        <v>-930</v>
      </c>
      <c r="G12" s="17">
        <v>-3379</v>
      </c>
      <c r="H12" s="17"/>
      <c r="I12" s="17"/>
      <c r="J12" s="17">
        <v>-2007</v>
      </c>
      <c r="K12" s="17">
        <f>M12-L12</f>
        <v>181974</v>
      </c>
      <c r="L12" s="17">
        <f>F12+G12+J12</f>
        <v>-6316</v>
      </c>
      <c r="M12" s="17">
        <f>K13</f>
        <v>175658</v>
      </c>
      <c r="N12" s="17">
        <f>D12+E12</f>
        <v>0</v>
      </c>
      <c r="O12" s="17">
        <f>AVERAGE(N9:N12)</f>
        <v>0</v>
      </c>
      <c r="P12" s="17"/>
      <c r="Q12" s="17">
        <f>-J12+Q11</f>
        <v>3204</v>
      </c>
      <c r="R12" s="17"/>
      <c r="S12" s="17">
        <f>1+S11</f>
        <v>9</v>
      </c>
    </row>
    <row r="13" ht="20.05" customHeight="1">
      <c r="B13" s="30"/>
      <c r="C13" s="16">
        <v>35715</v>
      </c>
      <c r="D13" s="17"/>
      <c r="E13" s="17"/>
      <c r="F13" s="17">
        <v>-6989</v>
      </c>
      <c r="G13" s="17">
        <v>4830</v>
      </c>
      <c r="H13" s="17"/>
      <c r="I13" s="17"/>
      <c r="J13" s="17">
        <v>14331</v>
      </c>
      <c r="K13" s="17">
        <f>M13-L13</f>
        <v>175658</v>
      </c>
      <c r="L13" s="17">
        <f>F13+G13+J13</f>
        <v>12172</v>
      </c>
      <c r="M13" s="17">
        <f>K14</f>
        <v>187830</v>
      </c>
      <c r="N13" s="17">
        <f>D13+E13</f>
        <v>0</v>
      </c>
      <c r="O13" s="17">
        <f>AVERAGE(N10:N13)</f>
        <v>0</v>
      </c>
      <c r="P13" s="17"/>
      <c r="Q13" s="17">
        <f>-J13+Q12</f>
        <v>-11127</v>
      </c>
      <c r="R13" s="17"/>
      <c r="S13" s="17">
        <f>1+S12</f>
        <v>10</v>
      </c>
    </row>
    <row r="14" ht="20.05" customHeight="1">
      <c r="B14" s="30"/>
      <c r="C14" s="16">
        <v>40645</v>
      </c>
      <c r="D14" s="17"/>
      <c r="E14" s="17"/>
      <c r="F14" s="17">
        <v>11662</v>
      </c>
      <c r="G14" s="17">
        <v>-5258</v>
      </c>
      <c r="H14" s="17"/>
      <c r="I14" s="17"/>
      <c r="J14" s="17">
        <v>-9055</v>
      </c>
      <c r="K14" s="17">
        <f>M14-L14</f>
        <v>187830</v>
      </c>
      <c r="L14" s="17">
        <f>F14+G14+J14</f>
        <v>-2651</v>
      </c>
      <c r="M14" s="17">
        <f>K15</f>
        <v>185179</v>
      </c>
      <c r="N14" s="17">
        <f>D14+E14</f>
        <v>0</v>
      </c>
      <c r="O14" s="17">
        <f>AVERAGE(N11:N14)</f>
        <v>0</v>
      </c>
      <c r="P14" s="17"/>
      <c r="Q14" s="17">
        <f>-J14+Q13</f>
        <v>-2072</v>
      </c>
      <c r="R14" s="17"/>
      <c r="S14" s="17">
        <f>1+S13</f>
        <v>11</v>
      </c>
    </row>
    <row r="15" ht="20.05" customHeight="1">
      <c r="B15" s="30"/>
      <c r="C15" s="16">
        <v>38839</v>
      </c>
      <c r="D15" s="17"/>
      <c r="E15" s="17"/>
      <c r="F15" s="17">
        <v>1238</v>
      </c>
      <c r="G15" s="17">
        <v>-1469</v>
      </c>
      <c r="H15" s="17"/>
      <c r="I15" s="17"/>
      <c r="J15" s="17">
        <v>-2567</v>
      </c>
      <c r="K15" s="17">
        <f>M15-L15</f>
        <v>185179</v>
      </c>
      <c r="L15" s="17">
        <f>F15+G15+J15</f>
        <v>-2798</v>
      </c>
      <c r="M15" s="17">
        <f>K16</f>
        <v>182381</v>
      </c>
      <c r="N15" s="17">
        <f>D15+E15</f>
        <v>0</v>
      </c>
      <c r="O15" s="17">
        <f>AVERAGE(N12:N15)</f>
        <v>0</v>
      </c>
      <c r="P15" s="17"/>
      <c r="Q15" s="17">
        <f>-J15+Q14</f>
        <v>495</v>
      </c>
      <c r="R15" s="17"/>
      <c r="S15" s="17">
        <f>1+S14</f>
        <v>12</v>
      </c>
    </row>
    <row r="16" ht="20.05" customHeight="1">
      <c r="B16" s="33">
        <v>2018</v>
      </c>
      <c r="C16" s="16">
        <v>43694</v>
      </c>
      <c r="D16" s="17"/>
      <c r="E16" s="17"/>
      <c r="F16" s="17">
        <v>-10929</v>
      </c>
      <c r="G16" s="17">
        <v>-4917</v>
      </c>
      <c r="H16" s="17"/>
      <c r="I16" s="17"/>
      <c r="J16" s="17">
        <v>5075</v>
      </c>
      <c r="K16" s="17">
        <f>M16-L16</f>
        <v>182381</v>
      </c>
      <c r="L16" s="17">
        <f>F16+G16+J16</f>
        <v>-10771</v>
      </c>
      <c r="M16" s="17">
        <f>K17</f>
        <v>171610</v>
      </c>
      <c r="N16" s="17">
        <f>D16+E16</f>
        <v>0</v>
      </c>
      <c r="O16" s="17">
        <f>AVERAGE(N13:N16)</f>
        <v>0</v>
      </c>
      <c r="P16" s="17"/>
      <c r="Q16" s="17">
        <f>-J16+Q15</f>
        <v>-4580</v>
      </c>
      <c r="R16" s="17"/>
      <c r="S16" s="17">
        <f>1+S15</f>
        <v>13</v>
      </c>
    </row>
    <row r="17" ht="20.05" customHeight="1">
      <c r="B17" s="30"/>
      <c r="C17" s="16">
        <v>36598</v>
      </c>
      <c r="D17" s="17"/>
      <c r="E17" s="17"/>
      <c r="F17" s="17">
        <v>-16454</v>
      </c>
      <c r="G17" s="17">
        <v>173</v>
      </c>
      <c r="H17" s="17"/>
      <c r="I17" s="17"/>
      <c r="J17" s="17">
        <v>18121</v>
      </c>
      <c r="K17" s="17">
        <f>M17-L17</f>
        <v>171610</v>
      </c>
      <c r="L17" s="17">
        <f>F17+G17+J17</f>
        <v>1840</v>
      </c>
      <c r="M17" s="17">
        <f>K18</f>
        <v>173450</v>
      </c>
      <c r="N17" s="17">
        <f>D17+E17</f>
        <v>0</v>
      </c>
      <c r="O17" s="17">
        <f>AVERAGE(N14:N17)</f>
        <v>0</v>
      </c>
      <c r="P17" s="17"/>
      <c r="Q17" s="17">
        <f>-J17+Q16</f>
        <v>-22701</v>
      </c>
      <c r="R17" s="17"/>
      <c r="S17" s="17">
        <f>1+S16</f>
        <v>14</v>
      </c>
    </row>
    <row r="18" ht="20.05" customHeight="1">
      <c r="B18" s="30"/>
      <c r="C18" s="16">
        <v>35813</v>
      </c>
      <c r="D18" s="17"/>
      <c r="E18" s="17"/>
      <c r="F18" s="17">
        <v>20923</v>
      </c>
      <c r="G18" s="17">
        <v>-3593</v>
      </c>
      <c r="H18" s="17"/>
      <c r="I18" s="17"/>
      <c r="J18" s="17">
        <v>-19225</v>
      </c>
      <c r="K18" s="17">
        <f>M18-L18</f>
        <v>173450</v>
      </c>
      <c r="L18" s="17">
        <f>F18+G18+J18</f>
        <v>-1895</v>
      </c>
      <c r="M18" s="17">
        <f>K19</f>
        <v>171555</v>
      </c>
      <c r="N18" s="17">
        <f>D18+E18</f>
        <v>0</v>
      </c>
      <c r="O18" s="17">
        <f>AVERAGE(N15:N18)</f>
        <v>0</v>
      </c>
      <c r="P18" s="17"/>
      <c r="Q18" s="17">
        <f>-J18+Q17</f>
        <v>-3476</v>
      </c>
      <c r="R18" s="17"/>
      <c r="S18" s="17">
        <f>1+S17</f>
        <v>15</v>
      </c>
    </row>
    <row r="19" ht="20.05" customHeight="1">
      <c r="B19" s="30"/>
      <c r="C19" s="16">
        <v>44008</v>
      </c>
      <c r="D19" s="17"/>
      <c r="E19" s="17"/>
      <c r="F19" s="17">
        <v>-25502</v>
      </c>
      <c r="G19" s="17">
        <v>-12704</v>
      </c>
      <c r="H19" s="17"/>
      <c r="I19" s="17"/>
      <c r="J19" s="17">
        <v>13180</v>
      </c>
      <c r="K19" s="17">
        <f>M19-L19</f>
        <v>171555</v>
      </c>
      <c r="L19" s="17">
        <f>F19+G19+J19</f>
        <v>-25026</v>
      </c>
      <c r="M19" s="17">
        <f>K20</f>
        <v>146529</v>
      </c>
      <c r="N19" s="17">
        <f>D19+E19</f>
        <v>0</v>
      </c>
      <c r="O19" s="17">
        <f>AVERAGE(N16:N19)</f>
        <v>0</v>
      </c>
      <c r="P19" s="17"/>
      <c r="Q19" s="17">
        <f>-J19+Q18</f>
        <v>-16656</v>
      </c>
      <c r="R19" s="17"/>
      <c r="S19" s="17">
        <f>1+S18</f>
        <v>16</v>
      </c>
    </row>
    <row r="20" ht="20.05" customHeight="1">
      <c r="B20" s="33">
        <v>2019</v>
      </c>
      <c r="C20" s="16">
        <v>60254</v>
      </c>
      <c r="D20" s="17">
        <v>2791.5</v>
      </c>
      <c r="E20" s="17">
        <v>-921.5</v>
      </c>
      <c r="F20" s="17">
        <v>21810</v>
      </c>
      <c r="G20" s="17">
        <v>-6636</v>
      </c>
      <c r="H20" s="17"/>
      <c r="I20" s="17"/>
      <c r="J20" s="17">
        <v>-1713</v>
      </c>
      <c r="K20" s="17">
        <f>M20-L20</f>
        <v>146529</v>
      </c>
      <c r="L20" s="17">
        <f>F20+G20+J20</f>
        <v>13461</v>
      </c>
      <c r="M20" s="17">
        <f>K21</f>
        <v>159990</v>
      </c>
      <c r="N20" s="17">
        <f>D20+E20</f>
        <v>1870</v>
      </c>
      <c r="O20" s="17">
        <f>AVERAGE(N17:N20)</f>
        <v>467.5</v>
      </c>
      <c r="P20" s="17"/>
      <c r="Q20" s="17">
        <f>-J20+Q19</f>
        <v>-14943</v>
      </c>
      <c r="R20" s="17"/>
      <c r="S20" s="17">
        <f>1+S19</f>
        <v>17</v>
      </c>
    </row>
    <row r="21" ht="20.05" customHeight="1">
      <c r="B21" s="30"/>
      <c r="C21" s="16">
        <v>48222</v>
      </c>
      <c r="D21" s="17">
        <v>11798.4</v>
      </c>
      <c r="E21" s="17">
        <v>-921.5</v>
      </c>
      <c r="F21" s="17">
        <v>-20042</v>
      </c>
      <c r="G21" s="17">
        <v>1791</v>
      </c>
      <c r="H21" s="17"/>
      <c r="I21" s="17"/>
      <c r="J21" s="17">
        <v>9388</v>
      </c>
      <c r="K21" s="17">
        <f>M21-L21</f>
        <v>159990</v>
      </c>
      <c r="L21" s="17">
        <f>F21+G21+J21</f>
        <v>-8863</v>
      </c>
      <c r="M21" s="17">
        <f>K22</f>
        <v>151127</v>
      </c>
      <c r="N21" s="17">
        <f>D21+E21</f>
        <v>10876.9</v>
      </c>
      <c r="O21" s="17">
        <f>AVERAGE(N18:N21)</f>
        <v>3186.725</v>
      </c>
      <c r="P21" s="17"/>
      <c r="Q21" s="17">
        <f>-J21+Q20</f>
        <v>-24331</v>
      </c>
      <c r="R21" s="17"/>
      <c r="S21" s="17">
        <f>1+S20</f>
        <v>18</v>
      </c>
    </row>
    <row r="22" ht="20.05" customHeight="1">
      <c r="B22" s="30"/>
      <c r="C22" s="16">
        <v>60073</v>
      </c>
      <c r="D22" s="17">
        <v>14713.3</v>
      </c>
      <c r="E22" s="17">
        <v>-921.5</v>
      </c>
      <c r="F22" s="17">
        <v>53537</v>
      </c>
      <c r="G22" s="17">
        <v>-3836</v>
      </c>
      <c r="H22" s="17"/>
      <c r="I22" s="17"/>
      <c r="J22" s="17">
        <v>-15474</v>
      </c>
      <c r="K22" s="17">
        <f>M22-L22</f>
        <v>151127</v>
      </c>
      <c r="L22" s="17">
        <f>F22+G22+J22</f>
        <v>34227</v>
      </c>
      <c r="M22" s="17">
        <f>K23</f>
        <v>185354</v>
      </c>
      <c r="N22" s="17">
        <f>D22+E22</f>
        <v>13791.8</v>
      </c>
      <c r="O22" s="17">
        <f>AVERAGE(N19:N22)</f>
        <v>6634.675</v>
      </c>
      <c r="P22" s="17"/>
      <c r="Q22" s="17">
        <f>-J22+Q21</f>
        <v>-8857</v>
      </c>
      <c r="R22" s="17"/>
      <c r="S22" s="17">
        <f>1+S21</f>
        <v>19</v>
      </c>
    </row>
    <row r="23" ht="20.05" customHeight="1">
      <c r="B23" s="30"/>
      <c r="C23" s="16">
        <v>69490</v>
      </c>
      <c r="D23" s="17">
        <v>4749.1</v>
      </c>
      <c r="E23" s="17">
        <v>-921.5</v>
      </c>
      <c r="F23" s="17">
        <v>-31337</v>
      </c>
      <c r="G23" s="17">
        <v>-7571</v>
      </c>
      <c r="H23" s="17"/>
      <c r="I23" s="17"/>
      <c r="J23" s="17">
        <v>927</v>
      </c>
      <c r="K23" s="17">
        <f>M23-L23</f>
        <v>185354</v>
      </c>
      <c r="L23" s="17">
        <f>F23+G23+J23</f>
        <v>-37981</v>
      </c>
      <c r="M23" s="17">
        <f>K24</f>
        <v>147373</v>
      </c>
      <c r="N23" s="17">
        <f>D23+E23</f>
        <v>3827.6</v>
      </c>
      <c r="O23" s="17">
        <f>AVERAGE(N20:N23)</f>
        <v>7591.575</v>
      </c>
      <c r="P23" s="17"/>
      <c r="Q23" s="17">
        <f>-J23+Q22</f>
        <v>-9784</v>
      </c>
      <c r="R23" s="17"/>
      <c r="S23" s="17">
        <f>1+S22</f>
        <v>20</v>
      </c>
    </row>
    <row r="24" ht="20.05" customHeight="1">
      <c r="B24" s="33">
        <v>2020</v>
      </c>
      <c r="C24" s="16">
        <f>20430+1853+4128+1069+93454+266+3793</f>
        <v>124993</v>
      </c>
      <c r="D24" s="17">
        <v>12267.3</v>
      </c>
      <c r="E24" s="17">
        <v>-569.25</v>
      </c>
      <c r="F24" s="17">
        <v>33602</v>
      </c>
      <c r="G24" s="17">
        <v>-2899</v>
      </c>
      <c r="H24" s="17">
        <v>2935</v>
      </c>
      <c r="I24" s="17">
        <v>0</v>
      </c>
      <c r="J24" s="17">
        <v>-14107</v>
      </c>
      <c r="K24" s="17">
        <f>M24-L24</f>
        <v>147373</v>
      </c>
      <c r="L24" s="17">
        <f>F24+G24+J24</f>
        <v>16596</v>
      </c>
      <c r="M24" s="17">
        <f>K25</f>
        <v>163969</v>
      </c>
      <c r="N24" s="17">
        <f>D24+E24</f>
        <v>11698.05</v>
      </c>
      <c r="O24" s="17">
        <f>AVERAGE(N21:N24)</f>
        <v>10048.5875</v>
      </c>
      <c r="P24" s="17"/>
      <c r="Q24" s="17">
        <f>-(H24+I24)+Q23</f>
        <v>-12719</v>
      </c>
      <c r="R24" s="17"/>
      <c r="S24" s="17">
        <f>1+S23</f>
        <v>21</v>
      </c>
    </row>
    <row r="25" ht="20.05" customHeight="1">
      <c r="B25" s="30"/>
      <c r="C25" s="16">
        <f>39573.4+3536.4+7382.4+116839.9+3004.8+414.1+1771.3-C24</f>
        <v>47529.3</v>
      </c>
      <c r="D25" s="17">
        <v>4249.9</v>
      </c>
      <c r="E25" s="17">
        <v>-569.25</v>
      </c>
      <c r="F25" s="17">
        <v>62730.6</v>
      </c>
      <c r="G25" s="17">
        <v>-14407.67</v>
      </c>
      <c r="H25" s="17">
        <f>14989-H24</f>
        <v>12054</v>
      </c>
      <c r="I25" s="17">
        <f>-16489-151-I24</f>
        <v>-16640</v>
      </c>
      <c r="J25" s="17">
        <v>9823.809999999999</v>
      </c>
      <c r="K25" s="17">
        <f>M25-L25</f>
        <v>163969</v>
      </c>
      <c r="L25" s="17">
        <f>F25+G25+J25</f>
        <v>58146.74</v>
      </c>
      <c r="M25" s="17">
        <f>K26</f>
        <v>222115.74</v>
      </c>
      <c r="N25" s="17">
        <f>D25+E25</f>
        <v>3680.65</v>
      </c>
      <c r="O25" s="17">
        <f>AVERAGE(N22:N25)</f>
        <v>8249.525</v>
      </c>
      <c r="P25" s="17"/>
      <c r="Q25" s="17">
        <f>-(H25+I25)+Q24</f>
        <v>-8133</v>
      </c>
      <c r="R25" s="17"/>
      <c r="S25" s="17">
        <f>1+S24</f>
        <v>22</v>
      </c>
    </row>
    <row r="26" ht="20.05" customHeight="1">
      <c r="B26" s="30"/>
      <c r="C26" s="16">
        <f>56501+6416+10886+144472+706+3408-SUM(C24:C25)</f>
        <v>49866.7</v>
      </c>
      <c r="D26" s="17">
        <v>5714.8</v>
      </c>
      <c r="E26" s="17">
        <v>-569.25</v>
      </c>
      <c r="F26" s="17">
        <f>92738.9-SUM(F24:F25)</f>
        <v>-3593.7</v>
      </c>
      <c r="G26" s="17">
        <f>-22301-SUM(G24:G25)</f>
        <v>-4994.33</v>
      </c>
      <c r="H26" s="17">
        <f>10885-H25-H24</f>
        <v>-4104</v>
      </c>
      <c r="I26" s="17">
        <f>-16489-150-I25-I24</f>
        <v>1</v>
      </c>
      <c r="J26" s="17">
        <f>-10040-SUM(J24:J25)</f>
        <v>-5756.81</v>
      </c>
      <c r="K26" s="17">
        <f>M26-L26</f>
        <v>222115.74</v>
      </c>
      <c r="L26" s="17">
        <f>F26+G26+J26</f>
        <v>-14344.84</v>
      </c>
      <c r="M26" s="17">
        <f>K27</f>
        <v>207770.9</v>
      </c>
      <c r="N26" s="17">
        <f>D26+E26</f>
        <v>5145.55</v>
      </c>
      <c r="O26" s="17">
        <f>AVERAGE(N23:N26)</f>
        <v>6087.9625</v>
      </c>
      <c r="P26" s="17"/>
      <c r="Q26" s="17">
        <f>-(H26+I26)+Q25</f>
        <v>-4030</v>
      </c>
      <c r="R26" s="17"/>
      <c r="S26" s="17">
        <f>1+S25</f>
        <v>23</v>
      </c>
    </row>
    <row r="27" ht="20.05" customHeight="1">
      <c r="B27" s="30"/>
      <c r="C27" s="16">
        <v>109755.5</v>
      </c>
      <c r="D27" s="17">
        <v>9802.4</v>
      </c>
      <c r="E27" s="17">
        <v>-569.25</v>
      </c>
      <c r="F27" s="17">
        <v>9321.9</v>
      </c>
      <c r="G27" s="17">
        <v>-11012.4</v>
      </c>
      <c r="H27" s="17">
        <f>4741-H26-H25-H24</f>
        <v>-6144</v>
      </c>
      <c r="I27" s="17">
        <f>-16717-I26-I25-I24</f>
        <v>-78</v>
      </c>
      <c r="J27" s="17">
        <v>-6428.4</v>
      </c>
      <c r="K27" s="17">
        <f>M27-L27</f>
        <v>207770.9</v>
      </c>
      <c r="L27" s="17">
        <f>F27+G27+J27</f>
        <v>-8118.9</v>
      </c>
      <c r="M27" s="17">
        <f>K28</f>
        <v>199652</v>
      </c>
      <c r="N27" s="17">
        <f>D27+E27</f>
        <v>9233.15</v>
      </c>
      <c r="O27" s="17">
        <f>AVERAGE(N24:N27)</f>
        <v>7439.35</v>
      </c>
      <c r="P27" s="17"/>
      <c r="Q27" s="17">
        <f>-(H27+I27)+Q26</f>
        <v>2192</v>
      </c>
      <c r="R27" s="17"/>
      <c r="S27" s="17">
        <f>1+S26</f>
        <v>24</v>
      </c>
    </row>
    <row r="28" ht="20.05" customHeight="1">
      <c r="B28" s="33">
        <v>2021</v>
      </c>
      <c r="C28" s="16">
        <f>18918.3+3326+4134.5+63917.5+224.8+1027.3</f>
        <v>91548.399999999994</v>
      </c>
      <c r="D28" s="17">
        <v>29133.9</v>
      </c>
      <c r="E28" s="17">
        <v>-542.5</v>
      </c>
      <c r="F28" s="17">
        <v>75482.899999999994</v>
      </c>
      <c r="G28" s="17">
        <v>-50970.1</v>
      </c>
      <c r="H28" s="17">
        <v>-728</v>
      </c>
      <c r="I28" s="17">
        <v>0</v>
      </c>
      <c r="J28" s="17">
        <f>-837.5</f>
        <v>-837.5</v>
      </c>
      <c r="K28" s="17">
        <f>M28-L28</f>
        <v>199652</v>
      </c>
      <c r="L28" s="17">
        <f>F28+G28+J28</f>
        <v>23675.3</v>
      </c>
      <c r="M28" s="17">
        <f>K29</f>
        <v>223327.3</v>
      </c>
      <c r="N28" s="17">
        <f>D28+E28</f>
        <v>28591.4</v>
      </c>
      <c r="O28" s="17">
        <f>AVERAGE(N25:N28)</f>
        <v>11662.6875</v>
      </c>
      <c r="P28" s="17"/>
      <c r="Q28" s="17">
        <f>-(H28+I28)+Q27</f>
        <v>2920</v>
      </c>
      <c r="R28" s="17"/>
      <c r="S28" s="17">
        <f>1+S27</f>
        <v>25</v>
      </c>
    </row>
    <row r="29" ht="20.05" customHeight="1">
      <c r="B29" s="30"/>
      <c r="C29" s="16">
        <f>37303.9+8577.5+8450.5+1953.3+110900.5+517.3-C28</f>
        <v>76154.600000000006</v>
      </c>
      <c r="D29" s="17">
        <v>-8699.799999999999</v>
      </c>
      <c r="E29" s="17">
        <v>-542.5</v>
      </c>
      <c r="F29" s="17">
        <f>44405.5-F28</f>
        <v>-31077.4</v>
      </c>
      <c r="G29" s="17">
        <f>-60071.4-G28</f>
        <v>-9101.299999999999</v>
      </c>
      <c r="H29" s="17">
        <f>5827-H28</f>
        <v>6555</v>
      </c>
      <c r="I29" s="17">
        <v>-10028</v>
      </c>
      <c r="J29" s="17">
        <f>4870.4-J28</f>
        <v>5707.9</v>
      </c>
      <c r="K29" s="17">
        <f>M29-L29</f>
        <v>223327.3</v>
      </c>
      <c r="L29" s="17">
        <f>F29+G29+J29</f>
        <v>-34470.8</v>
      </c>
      <c r="M29" s="17">
        <f>K30</f>
        <v>188856.5</v>
      </c>
      <c r="N29" s="17">
        <f>D29+E29</f>
        <v>-9242.299999999999</v>
      </c>
      <c r="O29" s="17">
        <f>AVERAGE(N26:N29)</f>
        <v>8431.950000000001</v>
      </c>
      <c r="P29" s="17"/>
      <c r="Q29" s="17">
        <f>-(H29+I29)+Q28</f>
        <v>6393</v>
      </c>
      <c r="R29" s="17"/>
      <c r="S29" s="17">
        <f>1+S28</f>
        <v>26</v>
      </c>
    </row>
    <row r="30" ht="20.05" customHeight="1">
      <c r="B30" s="30"/>
      <c r="C30" s="16">
        <f>58018.1+10282.9+12749.8+152413.9+860.3-SUM(C28:C29)</f>
        <v>66622</v>
      </c>
      <c r="D30" s="17">
        <f>37985.8-SUM(D28:D29)</f>
        <v>17551.7</v>
      </c>
      <c r="E30" s="17">
        <v>-542.5</v>
      </c>
      <c r="F30" s="17">
        <f>112363-SUM(F28:F29)</f>
        <v>67957.5</v>
      </c>
      <c r="G30" s="17">
        <f>-122604.9-SUM(G28:G29)</f>
        <v>-62533.5</v>
      </c>
      <c r="H30" s="17">
        <f>1539-H29-H28</f>
        <v>-4288</v>
      </c>
      <c r="I30" s="17">
        <f>-10272-I29-I28</f>
        <v>-244</v>
      </c>
      <c r="J30" s="17">
        <f>2685-SUM(J28:J29)</f>
        <v>-2185.4</v>
      </c>
      <c r="K30" s="17">
        <f>M30-L30</f>
        <v>188856.5</v>
      </c>
      <c r="L30" s="17">
        <f>F30+G30+J30</f>
        <v>3238.6</v>
      </c>
      <c r="M30" s="17">
        <f>K31</f>
        <v>192095.1</v>
      </c>
      <c r="N30" s="17">
        <f>D30+E30</f>
        <v>17009.2</v>
      </c>
      <c r="O30" s="17">
        <f>AVERAGE(N27:N30)</f>
        <v>11397.8625</v>
      </c>
      <c r="P30" s="17"/>
      <c r="Q30" s="17">
        <f>-(H30+I30)+Q29</f>
        <v>10925</v>
      </c>
      <c r="R30" s="17"/>
      <c r="S30" s="17">
        <f>1+S29</f>
        <v>27</v>
      </c>
    </row>
    <row r="31" ht="20.05" customHeight="1">
      <c r="B31" s="30"/>
      <c r="C31" s="16">
        <f>75695.1+17703.4+30266.6+230777.4+1070.4-SUM(C28:C30)</f>
        <v>121187.9</v>
      </c>
      <c r="D31" s="17">
        <f>46435.6-SUM(D28:D30)</f>
        <v>8449.799999999999</v>
      </c>
      <c r="E31" s="17">
        <v>-542.5</v>
      </c>
      <c r="F31" s="17">
        <f>129892.5-SUM(F28:F30)</f>
        <v>17529.5</v>
      </c>
      <c r="G31" s="17">
        <f>-132477-SUM(G28:G30)</f>
        <v>-9872.1</v>
      </c>
      <c r="H31" s="17">
        <f>2777-H30-H29-H28</f>
        <v>1238</v>
      </c>
      <c r="I31" s="17">
        <f>-10272-I30-I29-I28</f>
        <v>0</v>
      </c>
      <c r="J31" s="17">
        <f>-3435.5-SUM(J28:J30)</f>
        <v>-6120.5</v>
      </c>
      <c r="K31" s="17">
        <f>M31-L31</f>
        <v>192095.1</v>
      </c>
      <c r="L31" s="17">
        <f>F31+G31+J31</f>
        <v>1536.9</v>
      </c>
      <c r="M31" s="17">
        <v>193632</v>
      </c>
      <c r="N31" s="17">
        <f>D31+E31</f>
        <v>7907.3</v>
      </c>
      <c r="O31" s="17">
        <f>AVERAGE(N28:N31)</f>
        <v>11066.4</v>
      </c>
      <c r="P31" s="17"/>
      <c r="Q31" s="17">
        <f>-(H31+I31)+Q30</f>
        <v>9687</v>
      </c>
      <c r="R31" s="17"/>
      <c r="S31" s="17">
        <f>1+S30</f>
        <v>28</v>
      </c>
    </row>
    <row r="32" ht="20.05" customHeight="1">
      <c r="B32" s="33">
        <v>2022</v>
      </c>
      <c r="C32" s="16">
        <f>20522.7+3535.7+7601.4+337+1084+108981.6</f>
        <v>142062.4</v>
      </c>
      <c r="D32" s="17">
        <v>-5876</v>
      </c>
      <c r="E32" s="17">
        <v>-715.3</v>
      </c>
      <c r="F32" s="17">
        <v>-7315.3</v>
      </c>
      <c r="G32" s="17">
        <v>-29823.3</v>
      </c>
      <c r="H32" s="17">
        <f>J32-I32</f>
        <v>18764.8</v>
      </c>
      <c r="I32" s="17">
        <v>-16816.9</v>
      </c>
      <c r="J32" s="17">
        <v>1947.9</v>
      </c>
      <c r="K32" s="17">
        <f>M32-L32-466</f>
        <v>193631.7</v>
      </c>
      <c r="L32" s="17">
        <f>F32+G32+J32</f>
        <v>-35190.7</v>
      </c>
      <c r="M32" s="17">
        <v>158907</v>
      </c>
      <c r="N32" s="17">
        <f>D32+E32</f>
        <v>-6591.3</v>
      </c>
      <c r="O32" s="17">
        <f>AVERAGE(N29:N32)</f>
        <v>2270.725</v>
      </c>
      <c r="P32" s="17">
        <f>O32</f>
        <v>2270.725</v>
      </c>
      <c r="Q32" s="17">
        <f>-(H32+I32)+Q31</f>
        <v>7739.1</v>
      </c>
      <c r="R32" s="17">
        <f>Q32</f>
        <v>7739.1</v>
      </c>
      <c r="S32" s="17">
        <f>1+S31</f>
        <v>29</v>
      </c>
    </row>
    <row r="33" ht="20.05" customHeight="1">
      <c r="B33" s="30"/>
      <c r="C33" s="16"/>
      <c r="D33" s="17"/>
      <c r="E33" s="15"/>
      <c r="F33" s="17"/>
      <c r="G33" s="17"/>
      <c r="H33" s="17"/>
      <c r="I33" s="17"/>
      <c r="J33" s="17"/>
      <c r="K33" s="17"/>
      <c r="L33" s="17"/>
      <c r="M33" s="17"/>
      <c r="N33" s="17"/>
      <c r="O33" s="35"/>
      <c r="P33" s="17">
        <f>SUM('Model'!F8:F9)</f>
        <v>12166.3701275089</v>
      </c>
      <c r="Q33" s="35"/>
      <c r="R33" s="17">
        <f>'Model'!F31</f>
        <v>22772.1328192469</v>
      </c>
      <c r="S33" s="17"/>
    </row>
  </sheetData>
  <mergeCells count="1">
    <mergeCell ref="B2:S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L33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17188" style="41" customWidth="1"/>
    <col min="2" max="5" width="9.61719" style="41" customWidth="1"/>
    <col min="6" max="12" width="10.5938" style="41" customWidth="1"/>
    <col min="13" max="16384" width="16.3516" style="41" customWidth="1"/>
  </cols>
  <sheetData>
    <row r="1" ht="16.3" customHeight="1"/>
    <row r="2" ht="27.65" customHeight="1">
      <c r="B2" t="s" s="2">
        <v>22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ht="44.25" customHeight="1">
      <c r="B3" t="s" s="5">
        <v>1</v>
      </c>
      <c r="C3" t="s" s="5">
        <v>56</v>
      </c>
      <c r="D3" t="s" s="5">
        <v>57</v>
      </c>
      <c r="E3" t="s" s="5">
        <v>58</v>
      </c>
      <c r="F3" t="s" s="5">
        <v>59</v>
      </c>
      <c r="G3" t="s" s="5">
        <v>25</v>
      </c>
      <c r="H3" t="s" s="5">
        <v>26</v>
      </c>
      <c r="I3" t="s" s="5">
        <v>60</v>
      </c>
      <c r="J3" t="s" s="5">
        <v>61</v>
      </c>
      <c r="K3" t="s" s="5">
        <v>62</v>
      </c>
      <c r="L3" t="s" s="42">
        <v>63</v>
      </c>
    </row>
    <row r="4" ht="21.1" customHeight="1">
      <c r="B4" s="25">
        <v>2015</v>
      </c>
      <c r="C4" s="38">
        <f>' Cashflow'!M4</f>
        <v>163230</v>
      </c>
      <c r="D4" s="39">
        <v>868348</v>
      </c>
      <c r="E4" s="39">
        <f>D4-C4</f>
        <v>705118</v>
      </c>
      <c r="F4" s="39">
        <f>261+1641+6822+3+260+22+206+18012+42+1653+172+84+3</f>
        <v>29181</v>
      </c>
      <c r="G4" s="39">
        <v>763557</v>
      </c>
      <c r="H4" s="39">
        <v>104791</v>
      </c>
      <c r="I4" s="39">
        <f>G4+H4-C4-E4</f>
        <v>0</v>
      </c>
      <c r="J4" s="43"/>
      <c r="K4" s="43"/>
      <c r="L4" s="39">
        <f>G4-C4</f>
        <v>600327</v>
      </c>
    </row>
    <row r="5" ht="21.1" customHeight="1">
      <c r="B5" s="30"/>
      <c r="C5" s="16">
        <f>' Cashflow'!M5</f>
        <v>166599</v>
      </c>
      <c r="D5" s="17">
        <v>914075</v>
      </c>
      <c r="E5" s="17">
        <f>D5-C5</f>
        <v>747476</v>
      </c>
      <c r="F5" s="17">
        <f>256+1712+7166+3+299+12+226+18269+42+1724+414+88+3</f>
        <v>30214</v>
      </c>
      <c r="G5" s="17">
        <v>804813</v>
      </c>
      <c r="H5" s="17">
        <v>109262</v>
      </c>
      <c r="I5" s="17">
        <f>G5+H5-C5-E5</f>
        <v>0</v>
      </c>
      <c r="J5" s="44">
        <f>E5/E4-1</f>
        <v>0.0600722148633278</v>
      </c>
      <c r="K5" s="44">
        <f>G5/G4-1</f>
        <v>0.0540313296846208</v>
      </c>
      <c r="L5" s="17">
        <f>G5-C5</f>
        <v>638214</v>
      </c>
    </row>
    <row r="6" ht="21.1" customHeight="1">
      <c r="B6" s="30"/>
      <c r="C6" s="16">
        <f>' Cashflow'!M6</f>
        <v>168197</v>
      </c>
      <c r="D6" s="17">
        <v>905759</v>
      </c>
      <c r="E6" s="17">
        <f>D6-C6</f>
        <v>737562</v>
      </c>
      <c r="F6" s="17">
        <f>257+1786+7415+3+274+7+251+21192+1856+691+87+4</f>
        <v>33823</v>
      </c>
      <c r="G6" s="17">
        <v>792622</v>
      </c>
      <c r="H6" s="17">
        <v>113137</v>
      </c>
      <c r="I6" s="17">
        <f>G6+H6-C6-E6</f>
        <v>0</v>
      </c>
      <c r="J6" s="44">
        <f>E6/E5-1</f>
        <v>-0.0132633020993316</v>
      </c>
      <c r="K6" s="44">
        <f>G6/G5-1</f>
        <v>-0.0151476181423511</v>
      </c>
      <c r="L6" s="17">
        <f>G6-C6</f>
        <v>624425</v>
      </c>
    </row>
    <row r="7" ht="21.1" customHeight="1">
      <c r="B7" s="30"/>
      <c r="C7" s="16">
        <f>' Cashflow'!M7</f>
        <v>148591</v>
      </c>
      <c r="D7" s="17">
        <v>910063</v>
      </c>
      <c r="E7" s="17">
        <f>D7-C7</f>
        <v>761472</v>
      </c>
      <c r="F7" s="17">
        <f>432+1878+7708+10+107+6+271+22282+1728+662+67+3</f>
        <v>35154</v>
      </c>
      <c r="G7" s="17">
        <v>790571</v>
      </c>
      <c r="H7" s="17">
        <v>119492</v>
      </c>
      <c r="I7" s="17">
        <f>G7+H7-C7-E7</f>
        <v>0</v>
      </c>
      <c r="J7" s="44">
        <f>E7/E6-1</f>
        <v>0.0324176137056953</v>
      </c>
      <c r="K7" s="44">
        <f>G7/G6-1</f>
        <v>-0.00258761427262932</v>
      </c>
      <c r="L7" s="17">
        <f>G7-C7</f>
        <v>641980</v>
      </c>
    </row>
    <row r="8" ht="21.1" customHeight="1">
      <c r="B8" s="33">
        <v>2016</v>
      </c>
      <c r="C8" s="16">
        <f>' Cashflow'!M8</f>
        <v>152896</v>
      </c>
      <c r="D8" s="17">
        <v>906739</v>
      </c>
      <c r="E8" s="17">
        <f>D8-C8</f>
        <v>753843</v>
      </c>
      <c r="F8" s="17">
        <f>429+1967+8033+10+233+8+306+23785+1756+251+72+4</f>
        <v>36854</v>
      </c>
      <c r="G8" s="17">
        <v>788692</v>
      </c>
      <c r="H8" s="17">
        <v>118047</v>
      </c>
      <c r="I8" s="17">
        <f>G8+H8-C8-E8</f>
        <v>0</v>
      </c>
      <c r="J8" s="44">
        <f>E8/E7-1</f>
        <v>-0.0100187531517902</v>
      </c>
      <c r="K8" s="44">
        <f>G8/G7-1</f>
        <v>-0.00237676312437466</v>
      </c>
      <c r="L8" s="17">
        <f>G8-C8</f>
        <v>635796</v>
      </c>
    </row>
    <row r="9" ht="20.9" customHeight="1">
      <c r="B9" s="30"/>
      <c r="C9" s="16">
        <f>' Cashflow'!M9</f>
        <v>170909</v>
      </c>
      <c r="D9" s="17">
        <v>971444</v>
      </c>
      <c r="E9" s="17">
        <f>D9-C9</f>
        <v>800535</v>
      </c>
      <c r="F9" s="17">
        <f>424+2058+8373+10+13+307+26256+1809+70+84+3</f>
        <v>39407</v>
      </c>
      <c r="G9" s="17">
        <v>824355</v>
      </c>
      <c r="H9" s="17">
        <v>147089</v>
      </c>
      <c r="I9" s="17">
        <f>G9+H9-C9-E9</f>
        <v>0</v>
      </c>
      <c r="J9" s="44">
        <f>E9/E8-1</f>
        <v>0.0619386264779271</v>
      </c>
      <c r="K9" s="44">
        <f>G9/G8-1</f>
        <v>0.0452179050884249</v>
      </c>
      <c r="L9" s="17">
        <f>G9-C9</f>
        <v>653446</v>
      </c>
    </row>
    <row r="10" ht="20.9" customHeight="1">
      <c r="B10" s="30"/>
      <c r="C10" s="16">
        <f>' Cashflow'!M10</f>
        <v>164430</v>
      </c>
      <c r="D10" s="17">
        <v>975163</v>
      </c>
      <c r="E10" s="17">
        <f>D10-C10</f>
        <v>810733</v>
      </c>
      <c r="F10" s="17">
        <f>421+2154+8723+10+153+4+295+29793+1804-39+68+3</f>
        <v>43389</v>
      </c>
      <c r="G10" s="17">
        <v>822377</v>
      </c>
      <c r="H10" s="17">
        <v>152786</v>
      </c>
      <c r="I10" s="17">
        <f>G10+H10-C10-E10</f>
        <v>0</v>
      </c>
      <c r="J10" s="44">
        <f>E10/E9-1</f>
        <v>0.0127389808065856</v>
      </c>
      <c r="K10" s="44">
        <f>G10/G9-1</f>
        <v>-0.00239945169253538</v>
      </c>
      <c r="L10" s="17">
        <f>G10-C10</f>
        <v>657947</v>
      </c>
    </row>
    <row r="11" ht="20.9" customHeight="1">
      <c r="B11" s="30"/>
      <c r="C11" s="16">
        <f>' Cashflow'!M11</f>
        <v>181974</v>
      </c>
      <c r="D11" s="17">
        <v>1038706</v>
      </c>
      <c r="E11" s="17">
        <f>D11-C11</f>
        <v>856732</v>
      </c>
      <c r="F11" s="17">
        <f>514+2258+9074+10+241+5+323+32617+1757+271+83+3</f>
        <v>47156</v>
      </c>
      <c r="G11" s="17">
        <v>885336</v>
      </c>
      <c r="H11" s="17">
        <v>153370</v>
      </c>
      <c r="I11" s="17">
        <f>G11+H11-C11-E11</f>
        <v>0</v>
      </c>
      <c r="J11" s="44">
        <f>E11/E10-1</f>
        <v>0.0567375449130602</v>
      </c>
      <c r="K11" s="44">
        <f>G11/G10-1</f>
        <v>0.0765573453537733</v>
      </c>
      <c r="L11" s="17">
        <f>G11-C11</f>
        <v>703362</v>
      </c>
    </row>
    <row r="12" ht="20.9" customHeight="1">
      <c r="B12" s="33">
        <v>2017</v>
      </c>
      <c r="C12" s="16">
        <f>' Cashflow'!M12</f>
        <v>175658</v>
      </c>
      <c r="D12" s="17">
        <v>1034307</v>
      </c>
      <c r="E12" s="17">
        <f>D12-C12</f>
        <v>858649</v>
      </c>
      <c r="F12" s="17">
        <f>584+2372+9437+10+154+6+330+34418+1439+7+47+3</f>
        <v>48807</v>
      </c>
      <c r="G12" s="17">
        <v>882482</v>
      </c>
      <c r="H12" s="17">
        <v>151825</v>
      </c>
      <c r="I12" s="17">
        <f>G12+H12-C12-E12</f>
        <v>0</v>
      </c>
      <c r="J12" s="44">
        <f>E12/E11-1</f>
        <v>0.00223757254310566</v>
      </c>
      <c r="K12" s="44">
        <f>G12/G11-1</f>
        <v>-0.00322363486856967</v>
      </c>
      <c r="L12" s="17">
        <f>G12-C12</f>
        <v>706824</v>
      </c>
    </row>
    <row r="13" ht="20.9" customHeight="1">
      <c r="B13" s="30"/>
      <c r="C13" s="16">
        <f>' Cashflow'!M13</f>
        <v>187830</v>
      </c>
      <c r="D13" s="17">
        <v>1067411</v>
      </c>
      <c r="E13" s="17">
        <f>D13-C13</f>
        <v>879581</v>
      </c>
      <c r="F13" s="17">
        <f>606+2481+9782+10+231+9+363+34590+1446-56+52+3</f>
        <v>49517</v>
      </c>
      <c r="G13" s="17">
        <v>909966</v>
      </c>
      <c r="H13" s="17">
        <v>157445</v>
      </c>
      <c r="I13" s="17">
        <f>G13+H13-C13-E13</f>
        <v>0</v>
      </c>
      <c r="J13" s="44">
        <f>E13/E12-1</f>
        <v>0.0243778307550582</v>
      </c>
      <c r="K13" s="44">
        <f>G13/G12-1</f>
        <v>0.0311439780074834</v>
      </c>
      <c r="L13" s="17">
        <f>G13-C13</f>
        <v>722136</v>
      </c>
    </row>
    <row r="14" ht="20.9" customHeight="1">
      <c r="B14" s="30"/>
      <c r="C14" s="16">
        <f>' Cashflow'!M14</f>
        <v>185179</v>
      </c>
      <c r="D14" s="17">
        <v>1078703</v>
      </c>
      <c r="E14" s="17">
        <f>D14-C14</f>
        <v>893524</v>
      </c>
      <c r="F14" s="17">
        <f>622+2589+10102+11+186+10+367+34318+1499-100+49+3</f>
        <v>49656</v>
      </c>
      <c r="G14" s="17">
        <v>914812</v>
      </c>
      <c r="H14" s="17">
        <v>163891</v>
      </c>
      <c r="I14" s="17">
        <f>G14+H14-C14-E14</f>
        <v>0</v>
      </c>
      <c r="J14" s="44">
        <f>E14/E13-1</f>
        <v>0.0158518658315721</v>
      </c>
      <c r="K14" s="44">
        <f>G14/G13-1</f>
        <v>0.00532547369901733</v>
      </c>
      <c r="L14" s="17">
        <f>G14-C14</f>
        <v>729633</v>
      </c>
    </row>
    <row r="15" ht="20.9" customHeight="1">
      <c r="B15" s="30"/>
      <c r="C15" s="16">
        <f>' Cashflow'!M15</f>
        <v>182381</v>
      </c>
      <c r="D15" s="17">
        <v>1124701</v>
      </c>
      <c r="E15" s="17">
        <f>D15-C15</f>
        <v>942320</v>
      </c>
      <c r="F15" s="17">
        <f>618+2701+10373+13+254+8+363+33745+1349-78+50+3</f>
        <v>49399</v>
      </c>
      <c r="G15" s="17">
        <v>954695</v>
      </c>
      <c r="H15" s="17">
        <v>170006</v>
      </c>
      <c r="I15" s="17">
        <f>G15+H15-C15-E15</f>
        <v>0</v>
      </c>
      <c r="J15" s="44">
        <f>E15/E14-1</f>
        <v>0.0546107323362327</v>
      </c>
      <c r="K15" s="44">
        <f>G15/G14-1</f>
        <v>0.0435969357638509</v>
      </c>
      <c r="L15" s="17">
        <f>G15-C15</f>
        <v>772314</v>
      </c>
    </row>
    <row r="16" ht="20.9" customHeight="1">
      <c r="B16" s="33">
        <v>2018</v>
      </c>
      <c r="C16" s="16">
        <f>' Cashflow'!M16</f>
        <v>171610</v>
      </c>
      <c r="D16" s="17">
        <v>1098158</v>
      </c>
      <c r="E16" s="17">
        <f>D16-C16</f>
        <v>926548</v>
      </c>
      <c r="F16" s="17">
        <f>672+2810+10704+30+158+7+399+31316+1448+83+52+4</f>
        <v>47683</v>
      </c>
      <c r="G16" s="17">
        <v>932959</v>
      </c>
      <c r="H16" s="17">
        <v>165199</v>
      </c>
      <c r="I16" s="17">
        <f>G16+H16-C16-E16</f>
        <v>0</v>
      </c>
      <c r="J16" s="44">
        <f>E16/E15-1</f>
        <v>-0.016737414041939</v>
      </c>
      <c r="K16" s="44">
        <f>G16/G15-1</f>
        <v>-0.0227674807137358</v>
      </c>
      <c r="L16" s="17">
        <f>G16-C16</f>
        <v>761349</v>
      </c>
    </row>
    <row r="17" ht="20.9" customHeight="1">
      <c r="B17" s="30"/>
      <c r="C17" s="16">
        <f>' Cashflow'!M17</f>
        <v>173450</v>
      </c>
      <c r="D17" s="17">
        <v>1155548</v>
      </c>
      <c r="E17" s="17">
        <f>D17-C17</f>
        <v>982098</v>
      </c>
      <c r="F17" s="17">
        <f>770+2929+11030+30+185+8+403+31995+1419+131+51+11</f>
        <v>48962</v>
      </c>
      <c r="G17" s="17">
        <v>985506</v>
      </c>
      <c r="H17" s="17">
        <v>170042</v>
      </c>
      <c r="I17" s="17">
        <f>G17+H17-C17-E17</f>
        <v>0</v>
      </c>
      <c r="J17" s="44">
        <f>E17/E16-1</f>
        <v>0.0599537206922901</v>
      </c>
      <c r="K17" s="44">
        <f>G17/G16-1</f>
        <v>0.0563229466675384</v>
      </c>
      <c r="L17" s="17">
        <f>G17-C17</f>
        <v>812056</v>
      </c>
    </row>
    <row r="18" ht="20.9" customHeight="1">
      <c r="B18" s="30"/>
      <c r="C18" s="16">
        <f>' Cashflow'!M18</f>
        <v>171555</v>
      </c>
      <c r="D18" s="17">
        <v>1173645</v>
      </c>
      <c r="E18" s="17">
        <f>D18-C18</f>
        <v>1002090</v>
      </c>
      <c r="F18" s="17">
        <f>898+3053+11341+30+250+9+380+31726+1563+160+53+6</f>
        <v>49469</v>
      </c>
      <c r="G18" s="17">
        <v>997368</v>
      </c>
      <c r="H18" s="17">
        <v>176277</v>
      </c>
      <c r="I18" s="17">
        <f>G18+H18-C18-E18</f>
        <v>0</v>
      </c>
      <c r="J18" s="44">
        <f>E18/E17-1</f>
        <v>0.0203564206423392</v>
      </c>
      <c r="K18" s="44">
        <f>G18/G17-1</f>
        <v>0.0120364563990478</v>
      </c>
      <c r="L18" s="17">
        <f>G18-C18</f>
        <v>825813</v>
      </c>
    </row>
    <row r="19" ht="20.9" customHeight="1">
      <c r="B19" s="30"/>
      <c r="C19" s="16">
        <f>' Cashflow'!M19</f>
        <v>146529</v>
      </c>
      <c r="D19" s="17">
        <v>1202252</v>
      </c>
      <c r="E19" s="17">
        <f>D19-C19</f>
        <v>1055723</v>
      </c>
      <c r="F19" s="17">
        <f>5+50+297+1604+31796+371+9+296+31+11633+3199+599</f>
        <v>49890</v>
      </c>
      <c r="G19" s="17">
        <v>1017292</v>
      </c>
      <c r="H19" s="17">
        <v>184960</v>
      </c>
      <c r="I19" s="17">
        <f>G19+H19-C19-E19</f>
        <v>0</v>
      </c>
      <c r="J19" s="44">
        <f>E19/E18-1</f>
        <v>0.0535211408156952</v>
      </c>
      <c r="K19" s="44">
        <f>G19/G18-1</f>
        <v>0.0199765783542283</v>
      </c>
      <c r="L19" s="17">
        <f>G19-C19</f>
        <v>870763</v>
      </c>
    </row>
    <row r="20" ht="20.9" customHeight="1">
      <c r="B20" s="33">
        <v>2019</v>
      </c>
      <c r="C20" s="16">
        <f>' Cashflow'!M20</f>
        <v>159990</v>
      </c>
      <c r="D20" s="17">
        <v>1205972</v>
      </c>
      <c r="E20" s="17">
        <f>D20-C20</f>
        <v>1045982</v>
      </c>
      <c r="F20" s="17">
        <f>911+3334+11978+31+240+9+393+30397+1636+67+49+22</f>
        <v>49067</v>
      </c>
      <c r="G20" s="17">
        <v>1012307</v>
      </c>
      <c r="H20" s="17">
        <v>193665</v>
      </c>
      <c r="I20" s="17">
        <f>G20+H20-C20-E20</f>
        <v>0</v>
      </c>
      <c r="J20" s="44">
        <f>E20/E19-1</f>
        <v>-0.00922685211935328</v>
      </c>
      <c r="K20" s="44">
        <f>G20/G19-1</f>
        <v>-0.00490026462411972</v>
      </c>
      <c r="L20" s="17">
        <f>G20-C20</f>
        <v>852317</v>
      </c>
    </row>
    <row r="21" ht="20.9" customHeight="1">
      <c r="B21" s="30"/>
      <c r="C21" s="16">
        <f>' Cashflow'!M21</f>
        <v>151127</v>
      </c>
      <c r="D21" s="17">
        <v>1235628</v>
      </c>
      <c r="E21" s="17">
        <f>D21-C21</f>
        <v>1084501</v>
      </c>
      <c r="F21" s="17">
        <f>970+3479+12346+56+150+5+382+31338+1495-36+49+13</f>
        <v>50247</v>
      </c>
      <c r="G21" s="17">
        <v>1045939</v>
      </c>
      <c r="H21" s="17">
        <v>189689</v>
      </c>
      <c r="I21" s="17">
        <f>G21+H21-C21-E21</f>
        <v>0</v>
      </c>
      <c r="J21" s="44">
        <f>E21/E20-1</f>
        <v>0.0368256815126838</v>
      </c>
      <c r="K21" s="44">
        <f>G21/G20-1</f>
        <v>0.0332231230249322</v>
      </c>
      <c r="L21" s="17">
        <f>G21-C21</f>
        <v>894812</v>
      </c>
    </row>
    <row r="22" ht="20.9" customHeight="1">
      <c r="B22" s="30"/>
      <c r="C22" s="16">
        <f>' Cashflow'!M22</f>
        <v>185354</v>
      </c>
      <c r="D22" s="17">
        <v>1275670</v>
      </c>
      <c r="E22" s="17">
        <f>D22-C22</f>
        <v>1090316</v>
      </c>
      <c r="F22" s="17">
        <f>794+3639+12689+56+577+6+393+31990+1401-127+48+5</f>
        <v>51471</v>
      </c>
      <c r="G22" s="17">
        <v>1074842</v>
      </c>
      <c r="H22" s="17">
        <v>200828</v>
      </c>
      <c r="I22" s="17">
        <f>G22+H22-C22-E22</f>
        <v>0</v>
      </c>
      <c r="J22" s="44">
        <f>E22/E21-1</f>
        <v>0.00536191299039835</v>
      </c>
      <c r="K22" s="44">
        <f>G22/G21-1</f>
        <v>0.0276335426826995</v>
      </c>
      <c r="L22" s="17">
        <f>G22-C22</f>
        <v>889488</v>
      </c>
    </row>
    <row r="23" ht="20.9" customHeight="1">
      <c r="B23" s="30"/>
      <c r="C23" s="16">
        <f>' Cashflow'!M23</f>
        <v>147373</v>
      </c>
      <c r="D23" s="17">
        <v>1318246</v>
      </c>
      <c r="E23" s="17">
        <f>D23-C23</f>
        <v>1170873</v>
      </c>
      <c r="F23" s="17">
        <f>623+3794+13045+13+222+7982+355+29988+1312-96+48+5</f>
        <v>57291</v>
      </c>
      <c r="G23" s="17">
        <v>1109212</v>
      </c>
      <c r="H23" s="17">
        <v>209034</v>
      </c>
      <c r="I23" s="17">
        <f>G23+H23-C23-E23</f>
        <v>0</v>
      </c>
      <c r="J23" s="44">
        <f>E23/E22-1</f>
        <v>0.0738840849808679</v>
      </c>
      <c r="K23" s="44">
        <f>G23/G22-1</f>
        <v>0.0319767928681611</v>
      </c>
      <c r="L23" s="17">
        <f>G23-C23</f>
        <v>961839</v>
      </c>
    </row>
    <row r="24" ht="20.9" customHeight="1">
      <c r="B24" s="33">
        <v>2020</v>
      </c>
      <c r="C24" s="16">
        <f>' Cashflow'!M24</f>
        <v>163969</v>
      </c>
      <c r="D24" s="17">
        <v>1320038</v>
      </c>
      <c r="E24" s="17">
        <f>D24-C24</f>
        <v>1156069</v>
      </c>
      <c r="F24" s="17">
        <f>653+3958+13764+5+257+69+353+53872+1532+268+57+11</f>
        <v>74799</v>
      </c>
      <c r="G24" s="17">
        <v>1142597</v>
      </c>
      <c r="H24" s="17">
        <v>177441</v>
      </c>
      <c r="I24" s="17">
        <f>G24+H24-C24-E24</f>
        <v>0</v>
      </c>
      <c r="J24" s="44">
        <f>E24/E23-1</f>
        <v>-0.0126435574139979</v>
      </c>
      <c r="K24" s="44">
        <f>G24/G23-1</f>
        <v>0.0300979434048676</v>
      </c>
      <c r="L24" s="17">
        <f>G24-C24</f>
        <v>978628</v>
      </c>
    </row>
    <row r="25" ht="20.9" customHeight="1">
      <c r="B25" s="30"/>
      <c r="C25" s="16">
        <f>' Cashflow'!M25</f>
        <v>222115.74</v>
      </c>
      <c r="D25" s="17">
        <v>1359441</v>
      </c>
      <c r="E25" s="17">
        <f>D25-C25</f>
        <v>1137325.26</v>
      </c>
      <c r="F25" s="17">
        <f>637+4128+14418+15+246+42+489+55183+1419-99+50+10</f>
        <v>76538</v>
      </c>
      <c r="G25" s="17">
        <v>1176122</v>
      </c>
      <c r="H25" s="17">
        <v>183319</v>
      </c>
      <c r="I25" s="17">
        <f>G25+H25-C25-E25</f>
        <v>0</v>
      </c>
      <c r="J25" s="44">
        <f>E25/E24-1</f>
        <v>-0.0162133402072022</v>
      </c>
      <c r="K25" s="44">
        <f>G25/G24-1</f>
        <v>0.0293410537573615</v>
      </c>
      <c r="L25" s="17">
        <f>G25-C25</f>
        <v>954006.26</v>
      </c>
    </row>
    <row r="26" ht="20.9" customHeight="1">
      <c r="B26" s="30"/>
      <c r="C26" s="16">
        <f>' Cashflow'!M26</f>
        <v>207770.9</v>
      </c>
      <c r="D26" s="17">
        <v>1406655</v>
      </c>
      <c r="E26" s="17">
        <f>D26-C26</f>
        <v>1198884.1</v>
      </c>
      <c r="F26" s="17">
        <f>586+4306+15117+15+119+40+392+58880+1502+47+38+-310</f>
        <v>80732</v>
      </c>
      <c r="G26" s="17">
        <v>1217319</v>
      </c>
      <c r="H26" s="17">
        <v>189336</v>
      </c>
      <c r="I26" s="17">
        <f>G26+H26-C26-E26</f>
        <v>0</v>
      </c>
      <c r="J26" s="44">
        <f>E26/E25-1</f>
        <v>0.0541259762400775</v>
      </c>
      <c r="K26" s="44">
        <f>G26/G25-1</f>
        <v>0.0350278287456573</v>
      </c>
      <c r="L26" s="17">
        <f>G26-C26</f>
        <v>1009548.1</v>
      </c>
    </row>
    <row r="27" ht="20.9" customHeight="1">
      <c r="B27" s="30"/>
      <c r="C27" s="16">
        <f>' Cashflow'!M27</f>
        <v>199652</v>
      </c>
      <c r="D27" s="17">
        <v>1429334</v>
      </c>
      <c r="E27" s="17">
        <f>D27-C27</f>
        <v>1229682</v>
      </c>
      <c r="F27" s="17">
        <f>721+4637+15278+15+123+59+428+62271+1688+47+71-341</f>
        <v>84997</v>
      </c>
      <c r="G27" s="17">
        <v>1235538</v>
      </c>
      <c r="H27" s="17">
        <v>193796</v>
      </c>
      <c r="I27" s="17">
        <f>G27+H27-C27-E27</f>
        <v>0</v>
      </c>
      <c r="J27" s="44">
        <f>E27/E26-1</f>
        <v>0.0256888051146896</v>
      </c>
      <c r="K27" s="44">
        <f>G27/G26-1</f>
        <v>0.0149664960458187</v>
      </c>
      <c r="L27" s="17">
        <f>G27-C27</f>
        <v>1035886</v>
      </c>
    </row>
    <row r="28" ht="20.9" customHeight="1">
      <c r="B28" s="33">
        <v>2021</v>
      </c>
      <c r="C28" s="16">
        <f>' Cashflow'!M28</f>
        <v>223327.3</v>
      </c>
      <c r="D28" s="17">
        <v>1584067</v>
      </c>
      <c r="E28" s="17">
        <f>D28-C28</f>
        <v>1360739.7</v>
      </c>
      <c r="F28" s="17">
        <f>16390+4928+1730+15+127+79+470+67269+1391+48+39</f>
        <v>92486</v>
      </c>
      <c r="G28" s="17">
        <f>1235234+151310</f>
        <v>1386544</v>
      </c>
      <c r="H28" s="17">
        <v>197523</v>
      </c>
      <c r="I28" s="17">
        <f>G28+H28-C28-E28</f>
        <v>0</v>
      </c>
      <c r="J28" s="44">
        <f>E28/E27-1</f>
        <v>0.106578530058991</v>
      </c>
      <c r="K28" s="44">
        <f>G28/G27-1</f>
        <v>0.122218822893347</v>
      </c>
      <c r="L28" s="17">
        <f>G28-C28</f>
        <v>1163216.7</v>
      </c>
    </row>
    <row r="29" ht="20.9" customHeight="1">
      <c r="B29" s="30"/>
      <c r="C29" s="16">
        <f>' Cashflow'!M29</f>
        <v>188856.5</v>
      </c>
      <c r="D29" s="17">
        <v>1580527</v>
      </c>
      <c r="E29" s="17">
        <f>D29-C29</f>
        <v>1391670.5</v>
      </c>
      <c r="F29" s="17">
        <f>15+17027+5131+2113+161+85+494+68021+1400+3+49</f>
        <v>94499</v>
      </c>
      <c r="G29" s="17">
        <f>1210603+164793</f>
        <v>1375396</v>
      </c>
      <c r="H29" s="17">
        <v>205131</v>
      </c>
      <c r="I29" s="17">
        <f>G29+H29-C29-E29</f>
        <v>0</v>
      </c>
      <c r="J29" s="44">
        <f>E29/E28-1</f>
        <v>0.0227308720396708</v>
      </c>
      <c r="K29" s="44">
        <f>G29/G28-1</f>
        <v>-0.00804013431957442</v>
      </c>
      <c r="L29" s="17">
        <f>G29-C29</f>
        <v>1186539.5</v>
      </c>
    </row>
    <row r="30" ht="20.9" customHeight="1">
      <c r="B30" s="30"/>
      <c r="C30" s="16">
        <f>' Cashflow'!M30</f>
        <v>192095.1</v>
      </c>
      <c r="D30" s="17">
        <v>1637950</v>
      </c>
      <c r="E30" s="17">
        <f>D30-C30</f>
        <v>1445854.9</v>
      </c>
      <c r="F30" s="17">
        <f>17665+5325+1957+15+103+85+492+68528+1398+2+23</f>
        <v>95593</v>
      </c>
      <c r="G30" s="17">
        <f>1256789+168336</f>
        <v>1425125</v>
      </c>
      <c r="H30" s="17">
        <v>212825</v>
      </c>
      <c r="I30" s="17">
        <f>G30+H30-C30-E30</f>
        <v>0</v>
      </c>
      <c r="J30" s="44">
        <f>E30/E29-1</f>
        <v>0.0389347909580608</v>
      </c>
      <c r="K30" s="44">
        <f>G30/G29-1</f>
        <v>0.0361561324883888</v>
      </c>
      <c r="L30" s="17">
        <f>G30-C30</f>
        <v>1233029.9</v>
      </c>
    </row>
    <row r="31" ht="20.9" customHeight="1">
      <c r="B31" s="30"/>
      <c r="C31" s="16">
        <f>' Cashflow'!M31</f>
        <v>193632</v>
      </c>
      <c r="D31" s="17">
        <v>1725611</v>
      </c>
      <c r="E31" s="17">
        <f>D31-C31</f>
        <v>1531979</v>
      </c>
      <c r="F31" s="17">
        <f>1691+5511+18358+15+197+130+475+68589+1481+2+24</f>
        <v>96473</v>
      </c>
      <c r="G31" s="17">
        <f>176908+1326592</f>
        <v>1503500</v>
      </c>
      <c r="H31" s="17">
        <v>222111</v>
      </c>
      <c r="I31" s="17">
        <f>G31+H31-C31-E31</f>
        <v>0</v>
      </c>
      <c r="J31" s="44">
        <f>E31/E30-1</f>
        <v>0.0595662123495241</v>
      </c>
      <c r="K31" s="44">
        <f>G31/G30-1</f>
        <v>0.0549951758617665</v>
      </c>
      <c r="L31" s="17">
        <f>G31-C31</f>
        <v>1309868</v>
      </c>
    </row>
    <row r="32" ht="20.9" customHeight="1">
      <c r="B32" s="33">
        <v>2022</v>
      </c>
      <c r="C32" s="16">
        <f>' Cashflow'!M32</f>
        <v>158907</v>
      </c>
      <c r="D32" s="17">
        <v>1734075</v>
      </c>
      <c r="E32" s="17">
        <f>D32-C32</f>
        <v>1575168</v>
      </c>
      <c r="F32" s="17">
        <f>20+1+1398+69371+615+141+204+39+18939+5690+1808</f>
        <v>98226</v>
      </c>
      <c r="G32" s="17">
        <v>1339639</v>
      </c>
      <c r="H32" s="17">
        <f>D32-G32</f>
        <v>394436</v>
      </c>
      <c r="I32" s="17">
        <f>G32+H32-C32-E32</f>
        <v>0</v>
      </c>
      <c r="J32" s="44">
        <f>E32/E31-1</f>
        <v>0.028191639702633</v>
      </c>
      <c r="K32" s="44">
        <f>G32/G31-1</f>
        <v>-0.108986365147988</v>
      </c>
      <c r="L32" s="17">
        <f>G32-C32</f>
        <v>1180732</v>
      </c>
    </row>
    <row r="33" ht="20.9" customHeight="1">
      <c r="B33" s="30"/>
      <c r="C33" s="16"/>
      <c r="D33" s="17"/>
      <c r="E33" s="17"/>
      <c r="F33" s="17"/>
      <c r="G33" s="17"/>
      <c r="H33" s="17"/>
      <c r="I33" s="17"/>
      <c r="J33" s="44"/>
      <c r="K33" s="44"/>
      <c r="L33" s="35"/>
    </row>
  </sheetData>
  <mergeCells count="1">
    <mergeCell ref="B2:L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E2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6.20312" style="45" customWidth="1"/>
    <col min="2" max="2" width="6.86719" style="45" customWidth="1"/>
    <col min="3" max="5" width="8.32031" style="45" customWidth="1"/>
    <col min="6" max="16384" width="16.3516" style="45" customWidth="1"/>
  </cols>
  <sheetData>
    <row r="1" ht="7.3" customHeight="1"/>
    <row r="2" ht="27.65" customHeight="1">
      <c r="B2" t="s" s="2">
        <v>64</v>
      </c>
      <c r="C2" s="2"/>
      <c r="D2" s="2"/>
      <c r="E2" s="2"/>
    </row>
    <row r="3" ht="32.25" customHeight="1">
      <c r="B3" s="4"/>
      <c r="C3" t="s" s="42">
        <v>65</v>
      </c>
      <c r="D3" t="s" s="42">
        <v>37</v>
      </c>
      <c r="E3" t="s" s="42">
        <v>66</v>
      </c>
    </row>
    <row r="4" ht="20.25" customHeight="1">
      <c r="B4" s="25">
        <v>2018</v>
      </c>
      <c r="C4" s="38">
        <v>7675</v>
      </c>
      <c r="D4" s="46"/>
      <c r="E4" s="46"/>
    </row>
    <row r="5" ht="20.05" customHeight="1">
      <c r="B5" s="30"/>
      <c r="C5" s="16">
        <v>6850</v>
      </c>
      <c r="D5" s="47"/>
      <c r="E5" s="47"/>
    </row>
    <row r="6" ht="20.05" customHeight="1">
      <c r="B6" s="30"/>
      <c r="C6" s="16">
        <v>6725</v>
      </c>
      <c r="D6" s="47"/>
      <c r="E6" s="47"/>
    </row>
    <row r="7" ht="20.05" customHeight="1">
      <c r="B7" s="30"/>
      <c r="C7" s="16">
        <v>7375</v>
      </c>
      <c r="D7" s="47"/>
      <c r="E7" s="47"/>
    </row>
    <row r="8" ht="20.05" customHeight="1">
      <c r="B8" s="33">
        <v>2019</v>
      </c>
      <c r="C8" s="16">
        <v>7450</v>
      </c>
      <c r="D8" s="47"/>
      <c r="E8" s="47"/>
    </row>
    <row r="9" ht="20.05" customHeight="1">
      <c r="B9" s="30"/>
      <c r="C9" s="16">
        <v>8025</v>
      </c>
      <c r="D9" s="47"/>
      <c r="E9" s="47"/>
    </row>
    <row r="10" ht="20.05" customHeight="1">
      <c r="B10" s="30"/>
      <c r="C10" s="16">
        <v>6975</v>
      </c>
      <c r="D10" s="47"/>
      <c r="E10" s="47"/>
    </row>
    <row r="11" ht="20.05" customHeight="1">
      <c r="B11" s="30"/>
      <c r="C11" s="16">
        <v>7675</v>
      </c>
      <c r="D11" s="47"/>
      <c r="E11" s="47"/>
    </row>
    <row r="12" ht="20.05" customHeight="1">
      <c r="B12" s="33">
        <v>2020</v>
      </c>
      <c r="C12" s="16">
        <v>4680</v>
      </c>
      <c r="D12" s="47"/>
      <c r="E12" s="47"/>
    </row>
    <row r="13" ht="20.05" customHeight="1">
      <c r="B13" s="30"/>
      <c r="C13" s="16">
        <v>4950</v>
      </c>
      <c r="D13" s="35"/>
      <c r="E13" s="35"/>
    </row>
    <row r="14" ht="20.05" customHeight="1">
      <c r="B14" s="30"/>
      <c r="C14" s="16">
        <v>4960</v>
      </c>
      <c r="D14" s="35"/>
      <c r="E14" s="35"/>
    </row>
    <row r="15" ht="20.05" customHeight="1">
      <c r="B15" s="30"/>
      <c r="C15" s="16">
        <v>6325</v>
      </c>
      <c r="D15" s="35"/>
      <c r="E15" s="17">
        <v>8726.666666666661</v>
      </c>
    </row>
    <row r="16" ht="20.05" customHeight="1">
      <c r="B16" s="33">
        <v>2021</v>
      </c>
      <c r="C16" s="16">
        <v>6150</v>
      </c>
      <c r="D16" s="35"/>
      <c r="E16" s="17">
        <v>10946.2578828829</v>
      </c>
    </row>
    <row r="17" ht="20.05" customHeight="1">
      <c r="B17" s="30"/>
      <c r="C17" s="16">
        <v>5900</v>
      </c>
      <c r="D17" s="35"/>
      <c r="E17" s="17">
        <v>8892.672236063159</v>
      </c>
    </row>
    <row r="18" ht="20.05" customHeight="1">
      <c r="B18" s="30"/>
      <c r="C18" s="16">
        <v>6100</v>
      </c>
      <c r="D18" s="35"/>
      <c r="E18" s="35"/>
    </row>
    <row r="19" ht="20.05" customHeight="1">
      <c r="B19" s="30"/>
      <c r="C19" s="16">
        <v>7025</v>
      </c>
      <c r="D19" s="35"/>
      <c r="E19" s="13">
        <v>10559.9236355131</v>
      </c>
    </row>
    <row r="20" ht="20.05" customHeight="1">
      <c r="B20" s="33">
        <v>2022</v>
      </c>
      <c r="C20" s="16">
        <v>7900</v>
      </c>
      <c r="D20" s="35"/>
      <c r="E20" s="13">
        <v>10565.7020090226</v>
      </c>
    </row>
    <row r="21" ht="20.05" customHeight="1">
      <c r="B21" s="30"/>
      <c r="C21" s="16">
        <v>8225</v>
      </c>
      <c r="D21" s="17">
        <f>C21</f>
        <v>8225</v>
      </c>
      <c r="E21" s="13">
        <v>10910.9863884025</v>
      </c>
    </row>
    <row r="22" ht="20.05" customHeight="1">
      <c r="B22" s="30"/>
      <c r="C22" s="16"/>
      <c r="D22" s="13">
        <f>'Model'!F41</f>
        <v>12174.4290734572</v>
      </c>
      <c r="E22" s="35"/>
    </row>
  </sheetData>
  <mergeCells count="1">
    <mergeCell ref="B2:E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2:J25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0" width="11.5625" style="48" customWidth="1"/>
    <col min="11" max="16384" width="16.3516" style="48" customWidth="1"/>
  </cols>
  <sheetData>
    <row r="1" ht="27.65" customHeight="1">
      <c r="A1" t="s" s="2">
        <v>55</v>
      </c>
      <c r="B1" s="2"/>
      <c r="C1" s="2"/>
      <c r="D1" s="2"/>
      <c r="E1" s="2"/>
      <c r="F1" s="2"/>
      <c r="G1" s="2"/>
      <c r="H1" s="2"/>
      <c r="I1" s="2"/>
      <c r="J1" s="2"/>
    </row>
    <row r="2" ht="20.25" customHeight="1">
      <c r="A2" s="37"/>
      <c r="B2" t="s" s="5">
        <v>25</v>
      </c>
      <c r="C2" t="s" s="5">
        <v>26</v>
      </c>
      <c r="D2" t="s" s="5">
        <v>67</v>
      </c>
      <c r="E2" t="s" s="5">
        <v>25</v>
      </c>
      <c r="F2" t="s" s="5">
        <v>26</v>
      </c>
      <c r="G2" t="s" s="5">
        <v>68</v>
      </c>
      <c r="H2" s="4"/>
      <c r="I2" s="4"/>
      <c r="J2" s="4"/>
    </row>
    <row r="3" ht="20.25" customHeight="1">
      <c r="A3" s="25">
        <v>1998</v>
      </c>
      <c r="B3" s="38">
        <f>28825-C3</f>
        <v>7071</v>
      </c>
      <c r="C3" s="39">
        <f>21894-140</f>
        <v>21754</v>
      </c>
      <c r="D3" s="39">
        <f>B3+C3</f>
        <v>28825</v>
      </c>
      <c r="E3" s="39">
        <f>B3</f>
        <v>7071</v>
      </c>
      <c r="F3" s="39">
        <f>C3</f>
        <v>21754</v>
      </c>
      <c r="G3" s="39">
        <f>D3</f>
        <v>28825</v>
      </c>
      <c r="H3" s="49"/>
      <c r="I3" s="49"/>
      <c r="J3" s="49"/>
    </row>
    <row r="4" ht="20.05" customHeight="1">
      <c r="A4" s="33">
        <v>1999</v>
      </c>
      <c r="B4" s="16">
        <f>187400-C4</f>
        <v>9400</v>
      </c>
      <c r="C4" s="17">
        <f>178000</f>
        <v>178000</v>
      </c>
      <c r="D4" s="17">
        <f>B4+C4</f>
        <v>187400</v>
      </c>
      <c r="E4" s="17">
        <f>B4+E3</f>
        <v>16471</v>
      </c>
      <c r="F4" s="17">
        <f>C4+F3</f>
        <v>199754</v>
      </c>
      <c r="G4" s="17">
        <f>D4+G3</f>
        <v>216225</v>
      </c>
      <c r="H4" s="35"/>
      <c r="I4" s="35"/>
      <c r="J4" s="35"/>
    </row>
    <row r="5" ht="20.05" customHeight="1">
      <c r="A5" s="33">
        <v>2000</v>
      </c>
      <c r="B5" s="16">
        <f>6920-C5</f>
        <v>9577</v>
      </c>
      <c r="C5" s="17">
        <v>-2657</v>
      </c>
      <c r="D5" s="17">
        <f>B5+C5</f>
        <v>6920</v>
      </c>
      <c r="E5" s="17">
        <f>B5+E4</f>
        <v>26048</v>
      </c>
      <c r="F5" s="17">
        <f>C5+F4</f>
        <v>197097</v>
      </c>
      <c r="G5" s="17">
        <f>D5+G4</f>
        <v>223145</v>
      </c>
      <c r="H5" s="35"/>
      <c r="I5" s="35"/>
      <c r="J5" s="35"/>
    </row>
    <row r="6" ht="20.05" customHeight="1">
      <c r="A6" s="33">
        <v>2001</v>
      </c>
      <c r="B6" s="16">
        <f>-14826-C6</f>
        <v>-13815</v>
      </c>
      <c r="C6" s="17">
        <v>-1011</v>
      </c>
      <c r="D6" s="17">
        <f>B6+C6</f>
        <v>-14826</v>
      </c>
      <c r="E6" s="17">
        <f>B6+E5</f>
        <v>12233</v>
      </c>
      <c r="F6" s="17">
        <f>C6+F5</f>
        <v>196086</v>
      </c>
      <c r="G6" s="17">
        <f>D6+G5</f>
        <v>208319</v>
      </c>
      <c r="H6" s="35"/>
      <c r="I6" s="35"/>
      <c r="J6" s="35"/>
    </row>
    <row r="7" ht="20.05" customHeight="1">
      <c r="A7" s="33">
        <v>2002</v>
      </c>
      <c r="B7" s="16">
        <f>-6772-C7</f>
        <v>-5400</v>
      </c>
      <c r="C7" s="17">
        <v>-1372</v>
      </c>
      <c r="D7" s="17">
        <f>B7+C7</f>
        <v>-6772</v>
      </c>
      <c r="E7" s="17">
        <f>B7+E6</f>
        <v>6833</v>
      </c>
      <c r="F7" s="17">
        <f>C7+F6</f>
        <v>194714</v>
      </c>
      <c r="G7" s="17">
        <f>D7+G6</f>
        <v>201547</v>
      </c>
      <c r="H7" s="35"/>
      <c r="I7" s="35"/>
      <c r="J7" s="35"/>
    </row>
    <row r="8" ht="20.05" customHeight="1">
      <c r="A8" s="33">
        <v>2003</v>
      </c>
      <c r="B8" s="16">
        <f>-4005-C8</f>
        <v>-1075</v>
      </c>
      <c r="C8" s="17">
        <v>-2930</v>
      </c>
      <c r="D8" s="17">
        <f>B8+C8</f>
        <v>-4005</v>
      </c>
      <c r="E8" s="17">
        <f>B8+E7</f>
        <v>5758</v>
      </c>
      <c r="F8" s="17">
        <f>C8+F7</f>
        <v>191784</v>
      </c>
      <c r="G8" s="17">
        <f>D8+G7</f>
        <v>197542</v>
      </c>
      <c r="H8" s="35"/>
      <c r="I8" s="35"/>
      <c r="J8" s="35"/>
    </row>
    <row r="9" ht="20.05" customHeight="1">
      <c r="A9" s="33">
        <v>2004</v>
      </c>
      <c r="B9" s="16">
        <f>-7004-C9</f>
        <v>-4682</v>
      </c>
      <c r="C9" s="17">
        <v>-2322</v>
      </c>
      <c r="D9" s="17">
        <f>B9+C9</f>
        <v>-7004</v>
      </c>
      <c r="E9" s="17">
        <f>B9+E8</f>
        <v>1076</v>
      </c>
      <c r="F9" s="17">
        <f>C9+F8</f>
        <v>189462</v>
      </c>
      <c r="G9" s="17">
        <f>D9+G8</f>
        <v>190538</v>
      </c>
      <c r="H9" s="35"/>
      <c r="I9" s="35"/>
      <c r="J9" s="35"/>
    </row>
    <row r="10" ht="20.05" customHeight="1">
      <c r="A10" s="33">
        <v>2005</v>
      </c>
      <c r="B10" s="16">
        <f>-8995-C10</f>
        <v>-6327</v>
      </c>
      <c r="C10" s="17">
        <f>-2759+91</f>
        <v>-2668</v>
      </c>
      <c r="D10" s="17">
        <f>B10+C10</f>
        <v>-8995</v>
      </c>
      <c r="E10" s="17">
        <f>B10+E9</f>
        <v>-5251</v>
      </c>
      <c r="F10" s="17">
        <f>C10+F9</f>
        <v>186794</v>
      </c>
      <c r="G10" s="17">
        <f>D10+G9</f>
        <v>181543</v>
      </c>
      <c r="H10" s="35"/>
      <c r="I10" s="35"/>
      <c r="J10" s="35"/>
    </row>
    <row r="11" ht="20.05" customHeight="1">
      <c r="A11" s="33">
        <v>2006</v>
      </c>
      <c r="B11" s="16">
        <f>-2042-C11</f>
        <v>-2143</v>
      </c>
      <c r="C11" s="17">
        <f>-314+415</f>
        <v>101</v>
      </c>
      <c r="D11" s="17">
        <f>B11+C11</f>
        <v>-2042</v>
      </c>
      <c r="E11" s="17">
        <f>B11+E10</f>
        <v>-7394</v>
      </c>
      <c r="F11" s="17">
        <f>C11+F10</f>
        <v>186895</v>
      </c>
      <c r="G11" s="17">
        <f>D11+G10</f>
        <v>179501</v>
      </c>
      <c r="H11" s="35"/>
      <c r="I11" s="35"/>
      <c r="J11" s="35"/>
    </row>
    <row r="12" ht="20.05" customHeight="1">
      <c r="A12" s="33">
        <v>2007</v>
      </c>
      <c r="B12" s="16">
        <f>4507-C12</f>
        <v>5823</v>
      </c>
      <c r="C12" s="17">
        <f>-1555+239</f>
        <v>-1316</v>
      </c>
      <c r="D12" s="17">
        <f>B12+C12</f>
        <v>4507</v>
      </c>
      <c r="E12" s="17">
        <f>B12+E11</f>
        <v>-1571</v>
      </c>
      <c r="F12" s="17">
        <f>C12+F11</f>
        <v>185579</v>
      </c>
      <c r="G12" s="17">
        <f>D12+G11</f>
        <v>184008</v>
      </c>
      <c r="H12" s="35"/>
      <c r="I12" s="35"/>
      <c r="J12" s="35"/>
    </row>
    <row r="13" ht="20.05" customHeight="1">
      <c r="A13" s="33">
        <v>2009</v>
      </c>
      <c r="B13" s="16">
        <f>-9158-C13</f>
        <v>-5208</v>
      </c>
      <c r="C13" s="17">
        <f>-4086+136</f>
        <v>-3950</v>
      </c>
      <c r="D13" s="17">
        <f>B13+C13</f>
        <v>-9158</v>
      </c>
      <c r="E13" s="17">
        <f>B13+E12</f>
        <v>-6779</v>
      </c>
      <c r="F13" s="17">
        <f>C13+F12</f>
        <v>181629</v>
      </c>
      <c r="G13" s="17">
        <f>D13+G12</f>
        <v>174850</v>
      </c>
      <c r="H13" s="35"/>
      <c r="I13" s="35"/>
      <c r="J13" s="35"/>
    </row>
    <row r="14" ht="20.05" customHeight="1">
      <c r="A14" s="33">
        <v>2010</v>
      </c>
      <c r="B14" s="16">
        <f>-4468-C14</f>
        <v>-2088</v>
      </c>
      <c r="C14" s="17">
        <f>-2476+96</f>
        <v>-2380</v>
      </c>
      <c r="D14" s="17">
        <f>B14+C14</f>
        <v>-4468</v>
      </c>
      <c r="E14" s="17">
        <f>B14+E13</f>
        <v>-8867</v>
      </c>
      <c r="F14" s="17">
        <f>C14+F13</f>
        <v>179249</v>
      </c>
      <c r="G14" s="17">
        <f>D14+G13</f>
        <v>170382</v>
      </c>
      <c r="H14" s="35"/>
      <c r="I14" s="35"/>
      <c r="J14" s="35"/>
    </row>
    <row r="15" ht="20.05" customHeight="1">
      <c r="A15" s="33">
        <v>2011</v>
      </c>
      <c r="B15" s="16">
        <f>14820-C15</f>
        <v>6600</v>
      </c>
      <c r="C15" s="17">
        <f>11403-3183</f>
        <v>8220</v>
      </c>
      <c r="D15" s="17">
        <f>B15+C15</f>
        <v>14820</v>
      </c>
      <c r="E15" s="17">
        <f>B15+E14</f>
        <v>-2267</v>
      </c>
      <c r="F15" s="17">
        <f>C15+F14</f>
        <v>187469</v>
      </c>
      <c r="G15" s="17">
        <f>D15+G14</f>
        <v>185202</v>
      </c>
      <c r="H15" s="35"/>
      <c r="I15" s="35"/>
      <c r="J15" s="35"/>
    </row>
    <row r="16" ht="20.05" customHeight="1">
      <c r="A16" s="33">
        <v>2012</v>
      </c>
      <c r="B16" s="16">
        <f>-4506-C16</f>
        <v>-1566</v>
      </c>
      <c r="C16" s="17">
        <v>-2940</v>
      </c>
      <c r="D16" s="17">
        <f>B16+C16</f>
        <v>-4506</v>
      </c>
      <c r="E16" s="17">
        <f>B16+E15</f>
        <v>-3833</v>
      </c>
      <c r="F16" s="17">
        <f>C16+F15</f>
        <v>184529</v>
      </c>
      <c r="G16" s="17">
        <f>D16+G15</f>
        <v>180696</v>
      </c>
      <c r="H16" s="35"/>
      <c r="I16" s="35"/>
      <c r="J16" s="35"/>
    </row>
    <row r="17" ht="20.05" customHeight="1">
      <c r="A17" s="33">
        <v>2013</v>
      </c>
      <c r="B17" s="16">
        <f>6354-C17</f>
        <v>11005</v>
      </c>
      <c r="C17" s="17">
        <v>-4651</v>
      </c>
      <c r="D17" s="17">
        <f>B17+C17</f>
        <v>6354</v>
      </c>
      <c r="E17" s="17">
        <f>B17+E16</f>
        <v>7172</v>
      </c>
      <c r="F17" s="17">
        <f>C17+F16</f>
        <v>179878</v>
      </c>
      <c r="G17" s="17">
        <f>D17+G16</f>
        <v>187050</v>
      </c>
      <c r="H17" s="35"/>
      <c r="I17" s="35"/>
      <c r="J17" s="35"/>
    </row>
    <row r="18" ht="20.05" customHeight="1">
      <c r="A18" s="33">
        <v>2014</v>
      </c>
      <c r="B18" s="16">
        <f>3496-C18</f>
        <v>8957</v>
      </c>
      <c r="C18" s="17">
        <v>-5461</v>
      </c>
      <c r="D18" s="17">
        <f>B18+C18</f>
        <v>3496</v>
      </c>
      <c r="E18" s="17">
        <f>B18+E17</f>
        <v>16129</v>
      </c>
      <c r="F18" s="17">
        <f>C18+F17</f>
        <v>174417</v>
      </c>
      <c r="G18" s="17">
        <f>D18+G17</f>
        <v>190546</v>
      </c>
      <c r="H18" s="35"/>
      <c r="I18" s="35"/>
      <c r="J18" s="35"/>
    </row>
    <row r="19" ht="20.05" customHeight="1">
      <c r="A19" s="33">
        <v>2015</v>
      </c>
      <c r="B19" s="16">
        <f>778-C19</f>
        <v>5746</v>
      </c>
      <c r="C19" s="17">
        <v>-4968</v>
      </c>
      <c r="D19" s="17">
        <f>B19+C19</f>
        <v>778</v>
      </c>
      <c r="E19" s="17">
        <f>B19+E18</f>
        <v>21875</v>
      </c>
      <c r="F19" s="17">
        <f>C19+F18</f>
        <v>169449</v>
      </c>
      <c r="G19" s="17">
        <f>D19+G18</f>
        <v>191324</v>
      </c>
      <c r="H19" s="35"/>
      <c r="I19" s="35"/>
      <c r="J19" s="35"/>
    </row>
    <row r="20" ht="20.05" customHeight="1">
      <c r="A20" s="33">
        <v>2016</v>
      </c>
      <c r="B20" s="16">
        <f>-1975-C20</f>
        <v>4125</v>
      </c>
      <c r="C20" s="17">
        <v>-6100</v>
      </c>
      <c r="D20" s="17">
        <f>B20+C20</f>
        <v>-1975</v>
      </c>
      <c r="E20" s="17">
        <f>B20+E19</f>
        <v>26000</v>
      </c>
      <c r="F20" s="17">
        <f>C20+F19</f>
        <v>163349</v>
      </c>
      <c r="G20" s="17">
        <f>D20+G19</f>
        <v>189349</v>
      </c>
      <c r="H20" s="35"/>
      <c r="I20" s="35"/>
      <c r="J20" s="35"/>
    </row>
    <row r="21" ht="20.05" customHeight="1">
      <c r="A21" s="33">
        <v>2017</v>
      </c>
      <c r="B21" s="16">
        <f>702-C21</f>
        <v>6915</v>
      </c>
      <c r="C21" s="17">
        <v>-6213</v>
      </c>
      <c r="D21" s="17">
        <f>B21+C21</f>
        <v>702</v>
      </c>
      <c r="E21" s="17">
        <f>B21+E20</f>
        <v>32915</v>
      </c>
      <c r="F21" s="17">
        <f>C21+F20</f>
        <v>157136</v>
      </c>
      <c r="G21" s="17">
        <f>D21+G20</f>
        <v>190051</v>
      </c>
      <c r="H21" s="35"/>
      <c r="I21" s="35"/>
      <c r="J21" s="35"/>
    </row>
    <row r="22" ht="20.05" customHeight="1">
      <c r="A22" s="33">
        <v>2018</v>
      </c>
      <c r="B22" s="16">
        <f>17151-C22</f>
        <v>26439</v>
      </c>
      <c r="C22" s="17">
        <v>-9288</v>
      </c>
      <c r="D22" s="17">
        <f>B22+C22</f>
        <v>17151</v>
      </c>
      <c r="E22" s="17">
        <f>B22+E21</f>
        <v>59354</v>
      </c>
      <c r="F22" s="17">
        <f>C22+F21</f>
        <v>147848</v>
      </c>
      <c r="G22" s="17">
        <f>D22+G21</f>
        <v>207202</v>
      </c>
      <c r="H22" s="35"/>
      <c r="I22" s="35"/>
      <c r="J22" s="35"/>
    </row>
    <row r="23" ht="20.05" customHeight="1">
      <c r="A23" s="33">
        <v>2019</v>
      </c>
      <c r="B23" s="16">
        <f>-6873-C23</f>
        <v>4384</v>
      </c>
      <c r="C23" s="17">
        <v>-11257</v>
      </c>
      <c r="D23" s="17">
        <f>B23+C23</f>
        <v>-6873</v>
      </c>
      <c r="E23" s="17">
        <f>B23+E22</f>
        <v>63738</v>
      </c>
      <c r="F23" s="17">
        <f>C23+F22</f>
        <v>136591</v>
      </c>
      <c r="G23" s="17">
        <f>D23+G22</f>
        <v>200329</v>
      </c>
      <c r="H23" s="35"/>
      <c r="I23" s="35"/>
      <c r="J23" s="35"/>
    </row>
    <row r="24" ht="20.05" customHeight="1">
      <c r="A24" s="33">
        <v>2020</v>
      </c>
      <c r="B24" s="16">
        <v>4742</v>
      </c>
      <c r="C24" s="17">
        <f>-16566-151</f>
        <v>-16717</v>
      </c>
      <c r="D24" s="17">
        <f>B24+C24</f>
        <v>-11975</v>
      </c>
      <c r="E24" s="17">
        <f>B24+E23</f>
        <v>68480</v>
      </c>
      <c r="F24" s="17">
        <f>C24+F23</f>
        <v>119874</v>
      </c>
      <c r="G24" s="17">
        <f>D24+G23</f>
        <v>188354</v>
      </c>
      <c r="H24" s="35"/>
      <c r="I24" s="35"/>
      <c r="J24" s="35"/>
    </row>
    <row r="25" ht="20.05" customHeight="1">
      <c r="A25" s="33">
        <v>2021</v>
      </c>
      <c r="B25" s="16">
        <f>SUM(' Cashflow'!H28:H31)</f>
        <v>2777</v>
      </c>
      <c r="C25" s="17">
        <f>SUM(' Cashflow'!I28:I31)</f>
        <v>-10272</v>
      </c>
      <c r="D25" s="17">
        <f>B25+C25</f>
        <v>-7495</v>
      </c>
      <c r="E25" s="17">
        <f>B25+E24</f>
        <v>71257</v>
      </c>
      <c r="F25" s="17">
        <f>C25+F24</f>
        <v>109602</v>
      </c>
      <c r="G25" s="17">
        <f>D25+G24</f>
        <v>180859</v>
      </c>
      <c r="H25" s="17">
        <f>AVERAGE(D11:D25)</f>
        <v>-45.6</v>
      </c>
      <c r="I25" s="17">
        <f>AVERAGE(D21:D25)</f>
        <v>-1698</v>
      </c>
      <c r="J25" s="21">
        <f>D25</f>
        <v>-7495</v>
      </c>
    </row>
  </sheetData>
  <mergeCells count="1">
    <mergeCell ref="A1:J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