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<sst xmlns="http://schemas.openxmlformats.org/spreadsheetml/2006/main" uniqueCount="55">
  <si>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</si>
  <si>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</si>
  <si>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2021</t>
  </si>
  <si>
    <t>Cash 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</si>
  <si>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</si>
  <si>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</si>
  <si>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</si>
  <si>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</si>
  <si>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</si>
  <si>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</si>
  <si>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</si>
  <si>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</si>
  <si>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</si>
  <si>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</si>
  <si>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</si>
  <si>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</si>
  <si>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</si>
  <si>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</si>
  <si>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</si>
  <si>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>Non cash cost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</si>
  <si>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</si>
  <si>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</si>
  <si>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</si>
  <si>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</si>
  <si>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</si>
  <si>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</si>
  <si>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</si>
  <si>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</si>
  <si>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</si>
  <si>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</si>
  <si>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</si>
  <si>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</si>
  <si>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</si>
  <si>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</si>
  <si>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</si>
  <si>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</si>
  <si>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</si>
  <si>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</si>
  <si>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</si>
  <si>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</si>
  <si>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</si>
  <si>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</si>
  <si>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</si>
  <si>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growth </t>
  </si>
  <si>
    <t>Cashflow costs</t>
  </si>
  <si>
    <t xml:space="preserve">Receipts </t>
  </si>
  <si>
    <t xml:space="preserve">Operating </t>
  </si>
  <si>
    <t>Capex</t>
  </si>
  <si>
    <t xml:space="preserve">Investment </t>
  </si>
  <si>
    <t xml:space="preserve">Free cashflow </t>
  </si>
  <si>
    <t>Cash</t>
  </si>
  <si>
    <t>Assets</t>
  </si>
  <si>
    <t>Check</t>
  </si>
  <si>
    <t>Share price</t>
  </si>
  <si>
    <t>BMHS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</si>
</sst>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537564</xdr:colOff>
      <xdr:row>1</xdr:row>
      <xdr:rowOff>346253</xdr:rowOff>
    </xdr:from>
    <xdr:to>
      <xdr:col>13</xdr:col>
      <xdr:colOff>414012</xdr:colOff>
      <xdr:row>46</xdr:row>
      <xdr:rowOff>9879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77764" y="655498"/>
          <a:ext cx="8588649" cy="112238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1" customWidth="1"/>
    <col min="2" max="2" width="14.7656" style="1" customWidth="1"/>
    <col min="3" max="6" width="8.69531" style="1" customWidth="1"/>
    <col min="7" max="16384" width="16.3516" style="1" customWidth="1"/>
  </cols>
  <sheetData>
    <row r="1" ht="24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AVERAGE('Sales'!G9:G12)</f>
        <v>0.0600850192900921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0.05</v>
      </c>
      <c r="D5" s="12">
        <v>0.01</v>
      </c>
      <c r="E5" s="12">
        <v>0.05</v>
      </c>
      <c r="F5" s="12">
        <v>0.06</v>
      </c>
    </row>
    <row r="6" ht="20.05" customHeight="1">
      <c r="B6" t="s" s="10">
        <v>5</v>
      </c>
      <c r="C6" s="13">
        <f>'Sales'!C12*(1+C5)</f>
        <v>441.84</v>
      </c>
      <c r="D6" s="14">
        <f>C6*(1+D5)</f>
        <v>446.2584</v>
      </c>
      <c r="E6" s="14">
        <f>D6*(1+E5)</f>
        <v>468.57132</v>
      </c>
      <c r="F6" s="14">
        <f>E6*(1+F5)</f>
        <v>496.6855992</v>
      </c>
    </row>
    <row r="7" ht="20.05" customHeight="1">
      <c r="B7" t="s" s="10">
        <v>6</v>
      </c>
      <c r="C7" s="15">
        <f>AVERAGE('Sales'!I9)</f>
        <v>-0.817822049628121</v>
      </c>
      <c r="D7" s="16">
        <f>C7</f>
        <v>-0.817822049628121</v>
      </c>
      <c r="E7" s="16">
        <f>D7</f>
        <v>-0.817822049628121</v>
      </c>
      <c r="F7" s="16">
        <f>E7</f>
        <v>-0.817822049628121</v>
      </c>
    </row>
    <row r="8" ht="20.05" customHeight="1">
      <c r="B8" t="s" s="10">
        <v>7</v>
      </c>
      <c r="C8" s="17">
        <f>C7*C6</f>
        <v>-361.346494407689</v>
      </c>
      <c r="D8" s="18">
        <f>D7*D6</f>
        <v>-364.959959351766</v>
      </c>
      <c r="E8" s="18">
        <f>E7*E6</f>
        <v>-383.207957319354</v>
      </c>
      <c r="F8" s="18">
        <f>F7*F6</f>
        <v>-406.200434758515</v>
      </c>
    </row>
    <row r="9" ht="20.05" customHeight="1">
      <c r="B9" t="s" s="10">
        <v>8</v>
      </c>
      <c r="C9" s="17">
        <f>C6+C8</f>
        <v>80.493505592311</v>
      </c>
      <c r="D9" s="18">
        <f>D6+D8</f>
        <v>81.29844064823401</v>
      </c>
      <c r="E9" s="18">
        <f>E6+E8</f>
        <v>85.36336268064601</v>
      </c>
      <c r="F9" s="18">
        <f>F6+F8</f>
        <v>90.485164441485</v>
      </c>
    </row>
    <row r="10" ht="20.05" customHeight="1">
      <c r="B10" t="s" s="10">
        <v>9</v>
      </c>
      <c r="C10" s="17">
        <f>AVERAGE('Cashflow'!F12)</f>
        <v>-36.1</v>
      </c>
      <c r="D10" s="18">
        <f>C10</f>
        <v>-36.1</v>
      </c>
      <c r="E10" s="18">
        <f>D10</f>
        <v>-36.1</v>
      </c>
      <c r="F10" s="18">
        <f>E10</f>
        <v>-36.1</v>
      </c>
    </row>
    <row r="11" ht="20.05" customHeight="1">
      <c r="B11" t="s" s="10">
        <v>10</v>
      </c>
      <c r="C11" s="17">
        <f>C12+C13+C15</f>
        <v>-44.393505592311</v>
      </c>
      <c r="D11" s="18">
        <f>D12+D13+D15</f>
        <v>-45.198440648234</v>
      </c>
      <c r="E11" s="18">
        <f>E12+E13+E15</f>
        <v>-49.263362680646</v>
      </c>
      <c r="F11" s="18">
        <f>F12+F13+F15</f>
        <v>-54.385164441485</v>
      </c>
    </row>
    <row r="12" ht="20.05" customHeight="1">
      <c r="B12" t="s" s="10">
        <v>11</v>
      </c>
      <c r="C12" s="17">
        <f>-'Balance sheet'!G9/20</f>
        <v>-43.1</v>
      </c>
      <c r="D12" s="18">
        <f>-C26/20</f>
        <v>-40.945</v>
      </c>
      <c r="E12" s="18">
        <f>-D26/20</f>
        <v>-38.89775</v>
      </c>
      <c r="F12" s="18">
        <f>-E26/20</f>
        <v>-36.9528625</v>
      </c>
    </row>
    <row r="13" ht="20.05" customHeight="1">
      <c r="B13" t="s" s="10">
        <v>12</v>
      </c>
      <c r="C13" s="17">
        <f>IF(C21&gt;0,-C21*0.3,0)</f>
        <v>-17.7880516776933</v>
      </c>
      <c r="D13" s="18">
        <f>IF(D21&gt;0,-D21*0.3,0)</f>
        <v>-18.0295321944702</v>
      </c>
      <c r="E13" s="18">
        <f>IF(E21&gt;0,-E21*0.3,0)</f>
        <v>-19.2490088041938</v>
      </c>
      <c r="F13" s="18">
        <f>IF(F21&gt;0,-F21*0.3,0)</f>
        <v>-20.7855493324455</v>
      </c>
    </row>
    <row r="14" ht="20.05" customHeight="1">
      <c r="B14" t="s" s="10">
        <v>13</v>
      </c>
      <c r="C14" s="17">
        <f>C9+C10+C12+C13</f>
        <v>-16.4945460853823</v>
      </c>
      <c r="D14" s="18">
        <f>D9+D10+D12+D13</f>
        <v>-13.7760915462362</v>
      </c>
      <c r="E14" s="18">
        <f>E9+E10+E12+E13</f>
        <v>-8.883396123547801</v>
      </c>
      <c r="F14" s="18">
        <f>F9+F10+F12+F13</f>
        <v>-3.3532473909605</v>
      </c>
    </row>
    <row r="15" ht="20.05" customHeight="1">
      <c r="B15" t="s" s="10">
        <v>14</v>
      </c>
      <c r="C15" s="17">
        <f>-MIN(0,C14)</f>
        <v>16.4945460853823</v>
      </c>
      <c r="D15" s="18">
        <f>-MIN(C27,D14)</f>
        <v>13.7760915462362</v>
      </c>
      <c r="E15" s="18">
        <f>-MIN(D27,E14)</f>
        <v>8.883396123547801</v>
      </c>
      <c r="F15" s="18">
        <f>-MIN(E27,F14)</f>
        <v>3.3532473909605</v>
      </c>
    </row>
    <row r="16" ht="20.05" customHeight="1">
      <c r="B16" t="s" s="10">
        <v>15</v>
      </c>
      <c r="C16" s="17">
        <f>'Balance sheet'!C9</f>
        <v>680</v>
      </c>
      <c r="D16" s="18">
        <f>C18</f>
        <v>680</v>
      </c>
      <c r="E16" s="18">
        <f>D18</f>
        <v>680</v>
      </c>
      <c r="F16" s="18">
        <f>E18</f>
        <v>680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680</v>
      </c>
      <c r="D18" s="18">
        <f>D16+D17</f>
        <v>680</v>
      </c>
      <c r="E18" s="18">
        <f>E16+E17</f>
        <v>680</v>
      </c>
      <c r="F18" s="18">
        <f>F16+F17</f>
        <v>680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-AVERAGE('Sales'!E12)</f>
        <v>-21.2</v>
      </c>
      <c r="D20" s="18">
        <f>C20</f>
        <v>-21.2</v>
      </c>
      <c r="E20" s="18">
        <f>D20</f>
        <v>-21.2</v>
      </c>
      <c r="F20" s="18">
        <f>E20</f>
        <v>-21.2</v>
      </c>
    </row>
    <row r="21" ht="20.05" customHeight="1">
      <c r="B21" t="s" s="10">
        <v>20</v>
      </c>
      <c r="C21" s="17">
        <f>C6+C8+C20</f>
        <v>59.293505592311</v>
      </c>
      <c r="D21" s="18">
        <f>D6+D8+D20</f>
        <v>60.098440648234</v>
      </c>
      <c r="E21" s="18">
        <f>E6+E8+E20</f>
        <v>64.163362680646</v>
      </c>
      <c r="F21" s="18">
        <f>F6+F8+F20</f>
        <v>69.28516444148499</v>
      </c>
    </row>
    <row r="22" ht="20.05" customHeight="1">
      <c r="B22" t="s" s="19">
        <v>21</v>
      </c>
      <c r="C22" s="20"/>
      <c r="D22" s="21"/>
      <c r="E22" s="21"/>
      <c r="F22" s="18"/>
    </row>
    <row r="23" ht="20.05" customHeight="1">
      <c r="B23" t="s" s="10">
        <v>22</v>
      </c>
      <c r="C23" s="17">
        <f>'Balance sheet'!E9+'Balance sheet'!F9-C10</f>
        <v>2212.1</v>
      </c>
      <c r="D23" s="18">
        <f>C23-D10</f>
        <v>2248.2</v>
      </c>
      <c r="E23" s="18">
        <f>D23-E10</f>
        <v>2284.3</v>
      </c>
      <c r="F23" s="18">
        <f>E23-F10</f>
        <v>2320.4</v>
      </c>
    </row>
    <row r="24" ht="20.05" customHeight="1">
      <c r="B24" t="s" s="10">
        <v>23</v>
      </c>
      <c r="C24" s="17">
        <f>'Balance sheet'!F9-C20</f>
        <v>344.2</v>
      </c>
      <c r="D24" s="18">
        <f>C24-D20</f>
        <v>365.4</v>
      </c>
      <c r="E24" s="18">
        <f>D24-E20</f>
        <v>386.6</v>
      </c>
      <c r="F24" s="18">
        <f>E24-F20</f>
        <v>407.8</v>
      </c>
    </row>
    <row r="25" ht="20.05" customHeight="1">
      <c r="B25" t="s" s="10">
        <v>24</v>
      </c>
      <c r="C25" s="17">
        <f>C23-C24</f>
        <v>1867.9</v>
      </c>
      <c r="D25" s="18">
        <f>D23-D24</f>
        <v>1882.8</v>
      </c>
      <c r="E25" s="18">
        <f>E23-E24</f>
        <v>1897.7</v>
      </c>
      <c r="F25" s="18">
        <f>F23-F24</f>
        <v>1912.6</v>
      </c>
    </row>
    <row r="26" ht="20.05" customHeight="1">
      <c r="B26" t="s" s="10">
        <v>11</v>
      </c>
      <c r="C26" s="17">
        <f>'Balance sheet'!G9+C12</f>
        <v>818.9</v>
      </c>
      <c r="D26" s="18">
        <f>C26+D12</f>
        <v>777.955</v>
      </c>
      <c r="E26" s="18">
        <f>D26+E12</f>
        <v>739.05725</v>
      </c>
      <c r="F26" s="18">
        <f>E26+F12</f>
        <v>702.1043875</v>
      </c>
    </row>
    <row r="27" ht="20.05" customHeight="1">
      <c r="B27" t="s" s="10">
        <v>14</v>
      </c>
      <c r="C27" s="17">
        <f>C15</f>
        <v>16.4945460853823</v>
      </c>
      <c r="D27" s="18">
        <f>C27+D15</f>
        <v>30.2706376316185</v>
      </c>
      <c r="E27" s="18">
        <f>D27+E15</f>
        <v>39.1540337551663</v>
      </c>
      <c r="F27" s="18">
        <f>E27+F15</f>
        <v>42.5072811461268</v>
      </c>
    </row>
    <row r="28" ht="20.05" customHeight="1">
      <c r="B28" t="s" s="10">
        <v>25</v>
      </c>
      <c r="C28" s="17">
        <f>'Balance sheet'!H9+C21+C13</f>
        <v>1712.505453914620</v>
      </c>
      <c r="D28" s="18">
        <f>C28+D21+D13</f>
        <v>1754.574362368380</v>
      </c>
      <c r="E28" s="18">
        <f>D28+E21+E13</f>
        <v>1799.488716244830</v>
      </c>
      <c r="F28" s="18">
        <f>E28+F21+F13</f>
        <v>1847.988331353870</v>
      </c>
    </row>
    <row r="29" ht="20.05" customHeight="1">
      <c r="B29" t="s" s="10">
        <v>26</v>
      </c>
      <c r="C29" s="17">
        <f>C26+C27+C28-C18-C25</f>
        <v>2.3e-12</v>
      </c>
      <c r="D29" s="18">
        <f>D26+D27+D28-D18-D25</f>
        <v>-1.5e-12</v>
      </c>
      <c r="E29" s="18">
        <f>E26+E27+E28-E18-E25</f>
        <v>-3.7e-12</v>
      </c>
      <c r="F29" s="18">
        <f>F26+F27+F28-F18-F25</f>
        <v>-3.2e-12</v>
      </c>
    </row>
    <row r="30" ht="20.05" customHeight="1">
      <c r="B30" t="s" s="10">
        <v>27</v>
      </c>
      <c r="C30" s="17">
        <f>C18-C26-C27</f>
        <v>-155.394546085382</v>
      </c>
      <c r="D30" s="18">
        <f>D18-D26-D27</f>
        <v>-128.225637631619</v>
      </c>
      <c r="E30" s="18">
        <f>E18-E26-E27</f>
        <v>-98.21128375516631</v>
      </c>
      <c r="F30" s="18">
        <f>F18-F26-F27</f>
        <v>-64.6116686461268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'Cashflow'!L12-C11</f>
        <v>-399.606494407689</v>
      </c>
      <c r="D32" s="18">
        <f>C32-D11</f>
        <v>-354.408053759455</v>
      </c>
      <c r="E32" s="18">
        <f>D32-E11</f>
        <v>-305.144691078809</v>
      </c>
      <c r="F32" s="18">
        <f>E32-F11</f>
        <v>-250.759526637324</v>
      </c>
    </row>
    <row r="33" ht="20.05" customHeight="1">
      <c r="B33" t="s" s="10">
        <v>30</v>
      </c>
      <c r="C33" s="17"/>
      <c r="D33" s="18"/>
      <c r="E33" s="18"/>
      <c r="F33" s="18">
        <v>6959</v>
      </c>
    </row>
    <row r="34" ht="20.05" customHeight="1">
      <c r="B34" t="s" s="10">
        <v>31</v>
      </c>
      <c r="C34" s="17"/>
      <c r="D34" s="18"/>
      <c r="E34" s="18"/>
      <c r="F34" s="23">
        <f>F33/(F18+F25)</f>
        <v>2.68417804520559</v>
      </c>
    </row>
    <row r="35" ht="20.05" customHeight="1">
      <c r="B35" t="s" s="10">
        <v>32</v>
      </c>
      <c r="C35" s="17"/>
      <c r="D35" s="18"/>
      <c r="E35" s="18"/>
      <c r="F35" s="16">
        <f>-(C13+D13+E13+F13)/F33</f>
        <v>0.0108998623378076</v>
      </c>
    </row>
    <row r="36" ht="20.05" customHeight="1">
      <c r="B36" t="s" s="10">
        <v>33</v>
      </c>
      <c r="C36" s="17"/>
      <c r="D36" s="18"/>
      <c r="E36" s="18"/>
      <c r="F36" s="18">
        <f>SUM(C9:F10)</f>
        <v>193.240473362676</v>
      </c>
    </row>
    <row r="37" ht="20.05" customHeight="1">
      <c r="B37" t="s" s="10">
        <v>34</v>
      </c>
      <c r="C37" s="17"/>
      <c r="D37" s="18"/>
      <c r="E37" s="18"/>
      <c r="F37" s="18">
        <f>'Balance sheet'!E9/F36</f>
        <v>9.58908849556722</v>
      </c>
    </row>
    <row r="38" ht="20.05" customHeight="1">
      <c r="B38" t="s" s="10">
        <v>28</v>
      </c>
      <c r="C38" s="17"/>
      <c r="D38" s="18"/>
      <c r="E38" s="18"/>
      <c r="F38" s="18">
        <f>F33/F36</f>
        <v>36.0121245767147</v>
      </c>
    </row>
    <row r="39" ht="20.05" customHeight="1">
      <c r="B39" t="s" s="10">
        <v>35</v>
      </c>
      <c r="C39" s="17"/>
      <c r="D39" s="18"/>
      <c r="E39" s="18"/>
      <c r="F39" s="18">
        <v>35</v>
      </c>
    </row>
    <row r="40" ht="20.05" customHeight="1">
      <c r="B40" t="s" s="10">
        <v>36</v>
      </c>
      <c r="C40" s="17"/>
      <c r="D40" s="18"/>
      <c r="E40" s="18"/>
      <c r="F40" s="18">
        <f>F36*F39</f>
        <v>6763.416567693660</v>
      </c>
    </row>
    <row r="41" ht="20.05" customHeight="1">
      <c r="B41" t="s" s="10">
        <v>37</v>
      </c>
      <c r="C41" s="17"/>
      <c r="D41" s="18"/>
      <c r="E41" s="18"/>
      <c r="F41" s="18">
        <f>F33/F43</f>
        <v>8.59135802469136</v>
      </c>
    </row>
    <row r="42" ht="20.05" customHeight="1">
      <c r="B42" t="s" s="10">
        <v>38</v>
      </c>
      <c r="C42" s="17"/>
      <c r="D42" s="18"/>
      <c r="E42" s="18"/>
      <c r="F42" s="18">
        <f>F40/F41</f>
        <v>787.234864180466</v>
      </c>
    </row>
    <row r="43" ht="20.05" customHeight="1">
      <c r="B43" t="s" s="10">
        <v>39</v>
      </c>
      <c r="C43" s="17"/>
      <c r="D43" s="18"/>
      <c r="E43" s="18"/>
      <c r="F43" s="18">
        <f>'Share price'!C8</f>
        <v>810</v>
      </c>
    </row>
    <row r="44" ht="20.05" customHeight="1">
      <c r="B44" t="s" s="10">
        <v>40</v>
      </c>
      <c r="C44" s="17"/>
      <c r="D44" s="18"/>
      <c r="E44" s="18"/>
      <c r="F44" s="16">
        <f>F42/F43-1</f>
        <v>-0.028105105950042</v>
      </c>
    </row>
    <row r="45" ht="20.05" customHeight="1">
      <c r="B45" t="s" s="10">
        <v>41</v>
      </c>
      <c r="C45" s="17"/>
      <c r="D45" s="18"/>
      <c r="E45" s="18"/>
      <c r="F45" s="16">
        <f>'Sales'!C12/'Sales'!C8-1</f>
        <v>0.206767995411529</v>
      </c>
    </row>
    <row r="46" ht="20.05" customHeight="1">
      <c r="B46" t="s" s="10">
        <v>42</v>
      </c>
      <c r="C46" s="17"/>
      <c r="D46" s="18"/>
      <c r="E46" s="18"/>
      <c r="F46" s="16">
        <f>('Sales'!D9+'Sales'!D12+'Sales'!D10+'Sales'!D11)/('Sales'!C9+'Sales'!C10+'Sales'!C12+'Sales'!C11)-1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4" customWidth="1"/>
    <col min="2" max="2" width="7.00781" style="24" customWidth="1"/>
    <col min="3" max="10" width="9.10156" style="24" customWidth="1"/>
    <col min="11" max="16384" width="16.3516" style="24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35</v>
      </c>
      <c r="E3" t="s" s="4">
        <v>23</v>
      </c>
      <c r="F3" t="s" s="4">
        <v>20</v>
      </c>
      <c r="G3" t="s" s="4">
        <v>43</v>
      </c>
      <c r="H3" t="s" s="4">
        <v>6</v>
      </c>
      <c r="I3" t="s" s="4">
        <v>44</v>
      </c>
      <c r="J3" t="s" s="4">
        <v>44</v>
      </c>
    </row>
    <row r="4" ht="20.25" customHeight="1">
      <c r="B4" s="25">
        <v>2018</v>
      </c>
      <c r="C4" s="26">
        <v>852.2</v>
      </c>
      <c r="D4" s="8"/>
      <c r="E4" s="27">
        <v>44.1</v>
      </c>
      <c r="F4" s="27">
        <v>12</v>
      </c>
      <c r="G4" s="28"/>
      <c r="H4" s="28">
        <f>(E4+F4-C4)/C4</f>
        <v>-0.93417038253931</v>
      </c>
      <c r="I4" s="28">
        <f>AVERAGE(J4:J4)</f>
        <v>-0.864728636736608</v>
      </c>
      <c r="J4" s="28">
        <f>('Cashflow'!D4-'Cashflow'!C4)/'Cashflow'!C4</f>
        <v>-0.864728636736608</v>
      </c>
    </row>
    <row r="5" ht="20.05" customHeight="1">
      <c r="B5" s="29">
        <v>2019</v>
      </c>
      <c r="C5" s="13">
        <v>964.9</v>
      </c>
      <c r="D5" s="22"/>
      <c r="E5" s="14">
        <f>52</f>
        <v>52</v>
      </c>
      <c r="F5" s="14">
        <v>31.3</v>
      </c>
      <c r="G5" s="16">
        <f>C5/C4-1</f>
        <v>0.132245951654541</v>
      </c>
      <c r="H5" s="16">
        <f>(E5+F5-C5)/C5</f>
        <v>-0.913669810343041</v>
      </c>
      <c r="I5" s="16">
        <f>AVERAGE(J4:J5)</f>
        <v>-0.886808198510508</v>
      </c>
      <c r="J5" s="16">
        <f>('Cashflow'!D5-'Cashflow'!C5)/'Cashflow'!C5</f>
        <v>-0.908887760284408</v>
      </c>
    </row>
    <row r="6" ht="20.05" customHeight="1">
      <c r="B6" s="29">
        <v>2020</v>
      </c>
      <c r="C6" s="13">
        <f>C7</f>
        <v>232.3</v>
      </c>
      <c r="D6" s="22"/>
      <c r="E6" s="14">
        <f>E7</f>
        <v>16.05</v>
      </c>
      <c r="F6" s="14">
        <f>F7</f>
        <v>10.1</v>
      </c>
      <c r="G6" s="16">
        <f>C6/C5-1</f>
        <v>-0.759249663177531</v>
      </c>
      <c r="H6" s="16">
        <f>(E6+F6-C6)/C6</f>
        <v>-0.887430047352561</v>
      </c>
      <c r="I6" s="16">
        <f>AVERAGE(J4:J6)</f>
        <v>-0.851586548190942</v>
      </c>
      <c r="J6" s="16">
        <f>('Cashflow'!D6-'Cashflow'!C6)/'Cashflow'!C6</f>
        <v>-0.781143247551811</v>
      </c>
    </row>
    <row r="7" ht="20.05" customHeight="1">
      <c r="B7" s="30"/>
      <c r="C7" s="13">
        <f>464.6/2</f>
        <v>232.3</v>
      </c>
      <c r="D7" s="22"/>
      <c r="E7" s="14">
        <f>(23.9+6.1+2.1)/2</f>
        <v>16.05</v>
      </c>
      <c r="F7" s="14">
        <f>20.2/2</f>
        <v>10.1</v>
      </c>
      <c r="G7" s="16">
        <f>C7/C6-1</f>
        <v>0</v>
      </c>
      <c r="H7" s="16">
        <f>(E7+F7-C7)/C7</f>
        <v>-0.887430047352561</v>
      </c>
      <c r="I7" s="16">
        <f>AVERAGE(J4:J7)</f>
        <v>-0.83397572303116</v>
      </c>
      <c r="J7" s="16">
        <f>('Cashflow'!D7-'Cashflow'!C7)/'Cashflow'!C7</f>
        <v>-0.781143247551811</v>
      </c>
    </row>
    <row r="8" ht="20.05" customHeight="1">
      <c r="B8" s="30"/>
      <c r="C8" s="13">
        <f>813.3-SUM(C6:C7)</f>
        <v>348.7</v>
      </c>
      <c r="D8" s="22"/>
      <c r="E8" s="14">
        <f>9.1+2.1+41-SUM(E6:E7)</f>
        <v>20.1</v>
      </c>
      <c r="F8" s="14">
        <f>90-SUM(F6:F7)</f>
        <v>69.8</v>
      </c>
      <c r="G8" s="16">
        <f>C8/C7-1</f>
        <v>0.501076194575979</v>
      </c>
      <c r="H8" s="16">
        <f>(E8+F8-C8)/C8</f>
        <v>-0.742185259535417</v>
      </c>
      <c r="I8" s="16">
        <f>AVERAGE(J5:J8)</f>
        <v>-0.849134753521531</v>
      </c>
      <c r="J8" s="16">
        <f>('Cashflow'!D8-'Cashflow'!C8)/'Cashflow'!C8</f>
        <v>-0.925364758698092</v>
      </c>
    </row>
    <row r="9" ht="20.05" customHeight="1">
      <c r="B9" s="30"/>
      <c r="C9" s="13">
        <f>1148.1-SUM(C6:C8)</f>
        <v>334.8</v>
      </c>
      <c r="D9" s="22"/>
      <c r="E9" s="14">
        <f>55.6-SUM(E6:E8)</f>
        <v>3.4</v>
      </c>
      <c r="F9" s="18">
        <f>118.5-SUM(F6:F8)</f>
        <v>28.5</v>
      </c>
      <c r="G9" s="16">
        <f>C9/C8-1</f>
        <v>-0.0398623458560367</v>
      </c>
      <c r="H9" s="16">
        <f>(E9+F9-C9)/C9</f>
        <v>-0.904719235364397</v>
      </c>
      <c r="I9" s="16">
        <f>AVERAGE(J6:J9)</f>
        <v>-0.817822049628121</v>
      </c>
      <c r="J9" s="16">
        <f>('Cashflow'!D9-'Cashflow'!C9)/'Cashflow'!C9</f>
        <v>-0.7836369447107699</v>
      </c>
    </row>
    <row r="10" ht="20.05" customHeight="1">
      <c r="B10" s="29">
        <v>2021</v>
      </c>
      <c r="C10" s="13">
        <f>C11</f>
        <v>451.1</v>
      </c>
      <c r="D10" s="22"/>
      <c r="E10" s="14">
        <f>E11</f>
        <v>20.3</v>
      </c>
      <c r="F10" s="14">
        <f>F11</f>
        <v>98.5</v>
      </c>
      <c r="G10" s="16">
        <f>C10/C9-1</f>
        <v>0.347371565113501</v>
      </c>
      <c r="H10" s="16">
        <f>(E10+F10-C10)/C10</f>
        <v>-0.736643759698515</v>
      </c>
      <c r="I10" s="16">
        <f>AVERAGE(J7:J10)</f>
        <v>-0.836755506843158</v>
      </c>
      <c r="J10" s="16">
        <f>('Cashflow'!D10-'Cashflow'!C10)/'Cashflow'!C10</f>
        <v>-0.85687707641196</v>
      </c>
    </row>
    <row r="11" ht="20.05" customHeight="1">
      <c r="B11" s="30"/>
      <c r="C11" s="13">
        <f>902.2/2</f>
        <v>451.1</v>
      </c>
      <c r="D11" s="22"/>
      <c r="E11" s="14">
        <f>(27.8+8+4.8)/2</f>
        <v>20.3</v>
      </c>
      <c r="F11" s="14">
        <f>197/2</f>
        <v>98.5</v>
      </c>
      <c r="G11" s="16">
        <f>C11/C10-1</f>
        <v>0</v>
      </c>
      <c r="H11" s="16">
        <f>(E11+F11-C11)/C11</f>
        <v>-0.736643759698515</v>
      </c>
      <c r="I11" s="16">
        <f>AVERAGE(J8:J11)</f>
        <v>-0.8556889640581961</v>
      </c>
      <c r="J11" s="16">
        <f>('Cashflow'!D11-'Cashflow'!C11)/'Cashflow'!C11</f>
        <v>-0.85687707641196</v>
      </c>
    </row>
    <row r="12" ht="20.05" customHeight="1">
      <c r="B12" s="30"/>
      <c r="C12" s="13">
        <f>1323-SUM(C10:C11)</f>
        <v>420.8</v>
      </c>
      <c r="D12" s="22"/>
      <c r="E12" s="14">
        <f>(13.1+6+42.7)-SUM(E10:E11)</f>
        <v>21.2</v>
      </c>
      <c r="F12" s="14">
        <f>283-SUM(F10:F11)</f>
        <v>86</v>
      </c>
      <c r="G12" s="16">
        <f>C12/C11-1</f>
        <v>-0.067169142097096</v>
      </c>
      <c r="H12" s="16">
        <f>(E12+F12-C12)/C12</f>
        <v>-0.745247148288973</v>
      </c>
      <c r="I12" s="16">
        <f>AVERAGE(J9:J12)</f>
        <v>-0.857939023049628</v>
      </c>
      <c r="J12" s="16">
        <f>('Cashflow'!D12-'Cashflow'!C12)/'Cashflow'!C12</f>
        <v>-0.9343649946638209</v>
      </c>
    </row>
    <row r="13" ht="20.05" customHeight="1">
      <c r="B13" s="30"/>
      <c r="C13" s="13"/>
      <c r="D13" s="14">
        <f>'Model'!C6</f>
        <v>441.84</v>
      </c>
      <c r="E13" s="14"/>
      <c r="F13" s="14"/>
      <c r="G13" s="12"/>
      <c r="H13" s="16">
        <f>'Model'!C7</f>
        <v>-0.817822049628121</v>
      </c>
      <c r="I13" s="22"/>
      <c r="J13" s="16"/>
    </row>
    <row r="14" ht="20.05" customHeight="1">
      <c r="B14" s="29">
        <v>2022</v>
      </c>
      <c r="C14" s="13"/>
      <c r="D14" s="14">
        <f>'Model'!D6</f>
        <v>446.2584</v>
      </c>
      <c r="E14" s="14"/>
      <c r="F14" s="14"/>
      <c r="G14" s="12"/>
      <c r="H14" s="12"/>
      <c r="I14" s="12"/>
      <c r="J14" s="12"/>
    </row>
    <row r="15" ht="20.05" customHeight="1">
      <c r="B15" s="30"/>
      <c r="C15" s="13"/>
      <c r="D15" s="14">
        <f>'Model'!E6</f>
        <v>468.57132</v>
      </c>
      <c r="E15" s="14"/>
      <c r="F15" s="14"/>
      <c r="G15" s="12"/>
      <c r="H15" s="12"/>
      <c r="I15" s="12"/>
      <c r="J15" s="12"/>
    </row>
    <row r="16" ht="20.05" customHeight="1">
      <c r="B16" s="30"/>
      <c r="C16" s="13"/>
      <c r="D16" s="21">
        <f>'Model'!F6</f>
        <v>496.6855992</v>
      </c>
      <c r="E16" s="21"/>
      <c r="F16" s="21"/>
      <c r="G16" s="12"/>
      <c r="H16" s="12"/>
      <c r="I16" s="12"/>
      <c r="J1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1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1" customWidth="1"/>
    <col min="2" max="2" width="8.28906" style="31" customWidth="1"/>
    <col min="3" max="12" width="10.4297" style="31" customWidth="1"/>
    <col min="13" max="16384" width="16.3516" style="31" customWidth="1"/>
  </cols>
  <sheetData>
    <row r="1" ht="36.4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45</v>
      </c>
      <c r="D3" t="s" s="4">
        <v>46</v>
      </c>
      <c r="E3" t="s" s="4">
        <v>47</v>
      </c>
      <c r="F3" t="s" s="4">
        <v>48</v>
      </c>
      <c r="G3" t="s" s="4">
        <v>11</v>
      </c>
      <c r="H3" t="s" s="4">
        <v>12</v>
      </c>
      <c r="I3" t="s" s="4">
        <v>10</v>
      </c>
      <c r="J3" t="s" s="4">
        <v>49</v>
      </c>
      <c r="K3" t="s" s="4">
        <v>33</v>
      </c>
      <c r="L3" t="s" s="4">
        <v>29</v>
      </c>
    </row>
    <row r="4" ht="20.25" customHeight="1">
      <c r="B4" s="25">
        <v>2018</v>
      </c>
      <c r="C4" s="32">
        <v>853.1</v>
      </c>
      <c r="D4" s="33">
        <v>115.4</v>
      </c>
      <c r="E4" s="33">
        <v>-72.5</v>
      </c>
      <c r="F4" s="33">
        <v>-161.9</v>
      </c>
      <c r="G4" s="33">
        <f>I4-H4</f>
        <v>67.09999999999999</v>
      </c>
      <c r="H4" s="33">
        <f>-16.3+3</f>
        <v>-13.3</v>
      </c>
      <c r="I4" s="33">
        <v>53.8</v>
      </c>
      <c r="J4" s="34">
        <f>D4+F4</f>
        <v>-46.5</v>
      </c>
      <c r="K4" s="34"/>
      <c r="L4" s="34">
        <f>-I4</f>
        <v>-53.8</v>
      </c>
    </row>
    <row r="5" ht="20.05" customHeight="1">
      <c r="B5" s="29">
        <v>2019</v>
      </c>
      <c r="C5" s="17">
        <v>984.5</v>
      </c>
      <c r="D5" s="18">
        <v>89.7</v>
      </c>
      <c r="E5" s="18">
        <v>-52</v>
      </c>
      <c r="F5" s="18">
        <v>-76.3</v>
      </c>
      <c r="G5" s="18">
        <f>I5-H5</f>
        <v>-1.2</v>
      </c>
      <c r="H5" s="18">
        <v>-14.6</v>
      </c>
      <c r="I5" s="18">
        <v>-15.8</v>
      </c>
      <c r="J5" s="35">
        <f>D5+F5</f>
        <v>13.4</v>
      </c>
      <c r="K5" s="35"/>
      <c r="L5" s="35">
        <f>-I5+L4</f>
        <v>-38</v>
      </c>
    </row>
    <row r="6" ht="20.05" customHeight="1">
      <c r="B6" s="29">
        <v>2020</v>
      </c>
      <c r="C6" s="17">
        <f>C7</f>
        <v>219.55</v>
      </c>
      <c r="D6" s="18">
        <f>D7</f>
        <v>48.05</v>
      </c>
      <c r="E6" s="18">
        <f>E7</f>
        <v>-24.8</v>
      </c>
      <c r="F6" s="18">
        <f>F7</f>
        <v>-24.8</v>
      </c>
      <c r="G6" s="18">
        <f>I6-H6</f>
        <v>-21.95</v>
      </c>
      <c r="H6" s="18">
        <v>0</v>
      </c>
      <c r="I6" s="18">
        <f>I7</f>
        <v>-21.95</v>
      </c>
      <c r="J6" s="35">
        <f>D6+F6</f>
        <v>23.25</v>
      </c>
      <c r="K6" s="35">
        <f>J6</f>
        <v>23.25</v>
      </c>
      <c r="L6" s="35">
        <f>-I6+L5</f>
        <v>-16.05</v>
      </c>
    </row>
    <row r="7" ht="20.05" customHeight="1">
      <c r="B7" s="30"/>
      <c r="C7" s="17">
        <f>439.1/2</f>
        <v>219.55</v>
      </c>
      <c r="D7" s="18">
        <f>96.1/2</f>
        <v>48.05</v>
      </c>
      <c r="E7" s="18">
        <f t="shared" si="18" ref="E7:F7">-49.6/2</f>
        <v>-24.8</v>
      </c>
      <c r="F7" s="18">
        <f t="shared" si="18"/>
        <v>-24.8</v>
      </c>
      <c r="G7" s="18">
        <f>I7-H7</f>
        <v>-21.95</v>
      </c>
      <c r="H7" s="18">
        <v>0</v>
      </c>
      <c r="I7" s="18">
        <f>-43.9/2</f>
        <v>-21.95</v>
      </c>
      <c r="J7" s="35">
        <f>D7+F7</f>
        <v>23.25</v>
      </c>
      <c r="K7" s="35">
        <f>AVERAGE(J6:J7)</f>
        <v>23.25</v>
      </c>
      <c r="L7" s="35">
        <f>-I7+L6</f>
        <v>5.9</v>
      </c>
    </row>
    <row r="8" ht="20.05" customHeight="1">
      <c r="B8" s="30"/>
      <c r="C8" s="17">
        <f>795.5-SUM(C6:C7)</f>
        <v>356.4</v>
      </c>
      <c r="D8" s="18">
        <f>122.7-SUM(D6:D7)</f>
        <v>26.6</v>
      </c>
      <c r="E8" s="18">
        <f>-49.6-SUM(E6:E7)</f>
        <v>0</v>
      </c>
      <c r="F8" s="18">
        <f>-49.6-SUM(F6:F7)</f>
        <v>0</v>
      </c>
      <c r="G8" s="18">
        <f>I8-H8</f>
        <v>-0.7</v>
      </c>
      <c r="H8" s="18">
        <f>149-12.4-SUM(H6:H7)</f>
        <v>136.6</v>
      </c>
      <c r="I8" s="18">
        <f>92-SUM(I6:I7)</f>
        <v>135.9</v>
      </c>
      <c r="J8" s="35">
        <f>D8+F8</f>
        <v>26.6</v>
      </c>
      <c r="K8" s="35">
        <f>AVERAGE(J6:J8)</f>
        <v>24.3666666666667</v>
      </c>
      <c r="L8" s="35">
        <f>-I8+L7</f>
        <v>-130</v>
      </c>
    </row>
    <row r="9" ht="20.05" customHeight="1">
      <c r="B9" s="30"/>
      <c r="C9" s="17">
        <f>1108.4-SUM(C6:C8)</f>
        <v>312.9</v>
      </c>
      <c r="D9" s="18">
        <f>190.4-SUM(D6:D8)</f>
        <v>67.7</v>
      </c>
      <c r="E9" s="18">
        <f>-84.9-SUM(E6:E8)</f>
        <v>-35.3</v>
      </c>
      <c r="F9" s="18">
        <f>-49.2-SUM(F6:F8)</f>
        <v>0.4</v>
      </c>
      <c r="G9" s="18">
        <f>I9-H9</f>
        <v>289.6</v>
      </c>
      <c r="H9" s="18">
        <f>149-10.5-SUM(H6:H8)</f>
        <v>1.9</v>
      </c>
      <c r="I9" s="18">
        <f>383.5-SUM(I6:I8)</f>
        <v>291.5</v>
      </c>
      <c r="J9" s="35">
        <f>D9+F9</f>
        <v>68.09999999999999</v>
      </c>
      <c r="K9" s="18">
        <f>AVERAGE(J5:J9)</f>
        <v>30.92</v>
      </c>
      <c r="L9" s="35">
        <f>-I9+L8</f>
        <v>-421.5</v>
      </c>
    </row>
    <row r="10" ht="20.05" customHeight="1">
      <c r="B10" s="29">
        <v>2021</v>
      </c>
      <c r="C10" s="17">
        <f>C11</f>
        <v>376.25</v>
      </c>
      <c r="D10" s="18">
        <f>D11</f>
        <v>53.85</v>
      </c>
      <c r="E10" s="18">
        <f>E11</f>
        <v>-32.15</v>
      </c>
      <c r="F10" s="18">
        <f>F11</f>
        <v>-31.85</v>
      </c>
      <c r="G10" s="18">
        <f>I10-H10</f>
        <v>-5.15</v>
      </c>
      <c r="H10" s="18">
        <f>H11</f>
        <v>-13.6</v>
      </c>
      <c r="I10" s="18">
        <f>I11</f>
        <v>-18.75</v>
      </c>
      <c r="J10" s="35">
        <f>D10+F10</f>
        <v>22</v>
      </c>
      <c r="K10" s="18">
        <f>AVERAGE(J6:J10)</f>
        <v>32.64</v>
      </c>
      <c r="L10" s="35">
        <f>-I10+L9</f>
        <v>-402.75</v>
      </c>
    </row>
    <row r="11" ht="20.05" customHeight="1">
      <c r="B11" s="30"/>
      <c r="C11" s="17">
        <f>752.5/2</f>
        <v>376.25</v>
      </c>
      <c r="D11" s="18">
        <f>107.7/2</f>
        <v>53.85</v>
      </c>
      <c r="E11" s="18">
        <f>-64.3/2</f>
        <v>-32.15</v>
      </c>
      <c r="F11" s="18">
        <f>-63.7/2</f>
        <v>-31.85</v>
      </c>
      <c r="G11" s="18">
        <f>I11-H11</f>
        <v>-5.15</v>
      </c>
      <c r="H11" s="18">
        <f>-27.2/2</f>
        <v>-13.6</v>
      </c>
      <c r="I11" s="18">
        <f>-37.5/2</f>
        <v>-18.75</v>
      </c>
      <c r="J11" s="35">
        <f>D11+F11</f>
        <v>22</v>
      </c>
      <c r="K11" s="18">
        <f>AVERAGE(J7:J11)</f>
        <v>32.39</v>
      </c>
      <c r="L11" s="35">
        <f>-I11+L10</f>
        <v>-384</v>
      </c>
    </row>
    <row r="12" ht="20.05" customHeight="1">
      <c r="B12" s="30"/>
      <c r="C12" s="17">
        <f>1127.3-SUM(C10:C11)</f>
        <v>374.8</v>
      </c>
      <c r="D12" s="18">
        <f>132.3-SUM(D10:D11)</f>
        <v>24.6</v>
      </c>
      <c r="E12" s="18">
        <f>-99.8-SUM(E10:E11)</f>
        <v>-35.5</v>
      </c>
      <c r="F12" s="18">
        <f>-99.8-SUM(F10:F11)</f>
        <v>-36.1</v>
      </c>
      <c r="G12" s="18">
        <f>I12-H12</f>
        <v>-166.1</v>
      </c>
      <c r="H12" s="18">
        <f>226.1-27.2-SUM(H10:H11)</f>
        <v>226.1</v>
      </c>
      <c r="I12" s="18">
        <f>22.5-SUM(I10:I11)</f>
        <v>60</v>
      </c>
      <c r="J12" s="35">
        <f>D12+F12</f>
        <v>-11.5</v>
      </c>
      <c r="K12" s="18">
        <f>AVERAGE(J8:J12)</f>
        <v>25.44</v>
      </c>
      <c r="L12" s="35">
        <f>-I12+L11</f>
        <v>-444</v>
      </c>
    </row>
    <row r="13" ht="20.05" customHeight="1">
      <c r="B13" s="30"/>
      <c r="C13" s="17"/>
      <c r="D13" s="18"/>
      <c r="E13" s="18"/>
      <c r="F13" s="18"/>
      <c r="G13" s="18"/>
      <c r="H13" s="18"/>
      <c r="I13" s="18"/>
      <c r="J13" s="18"/>
      <c r="K13" s="18">
        <f>SUM('Model'!F9:F10)</f>
        <v>54.385164441485</v>
      </c>
      <c r="L13" s="18">
        <f>'Model'!F32</f>
        <v>-250.759526637324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8.58594" style="36" customWidth="1"/>
    <col min="3" max="11" width="9.39062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50</v>
      </c>
      <c r="D3" t="s" s="4">
        <v>51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52</v>
      </c>
      <c r="J3" t="s" s="4">
        <v>27</v>
      </c>
      <c r="K3" t="s" s="4">
        <v>35</v>
      </c>
    </row>
    <row r="4" ht="20.25" customHeight="1">
      <c r="B4" s="25">
        <v>2018</v>
      </c>
      <c r="C4" s="32">
        <v>103</v>
      </c>
      <c r="D4" s="33">
        <v>1241</v>
      </c>
      <c r="E4" s="33">
        <f>D4-C4</f>
        <v>1138</v>
      </c>
      <c r="F4" s="33">
        <v>203</v>
      </c>
      <c r="G4" s="33">
        <v>709</v>
      </c>
      <c r="H4" s="33">
        <v>532</v>
      </c>
      <c r="I4" s="33">
        <f>G4+H4-C4-E4</f>
        <v>0</v>
      </c>
      <c r="J4" s="33">
        <f>C4-G4</f>
        <v>-606</v>
      </c>
      <c r="K4" s="37"/>
    </row>
    <row r="5" ht="20.05" customHeight="1">
      <c r="B5" s="29">
        <v>2019</v>
      </c>
      <c r="C5" s="17">
        <v>100</v>
      </c>
      <c r="D5" s="18">
        <v>1401</v>
      </c>
      <c r="E5" s="18">
        <f>D5-C5</f>
        <v>1301</v>
      </c>
      <c r="F5" s="35">
        <f>241</f>
        <v>241</v>
      </c>
      <c r="G5" s="18">
        <v>735</v>
      </c>
      <c r="H5" s="18">
        <v>666</v>
      </c>
      <c r="I5" s="18">
        <f>G5+H5-C5-E5</f>
        <v>0</v>
      </c>
      <c r="J5" s="18">
        <f>C5-G5</f>
        <v>-635</v>
      </c>
      <c r="K5" s="21"/>
    </row>
    <row r="6" ht="20.05" customHeight="1">
      <c r="B6" s="29">
        <v>2020</v>
      </c>
      <c r="C6" s="17">
        <v>625</v>
      </c>
      <c r="D6" s="18">
        <v>2163</v>
      </c>
      <c r="E6" s="18">
        <f>D6-C6</f>
        <v>1538</v>
      </c>
      <c r="F6" s="35">
        <f>12+257</f>
        <v>269</v>
      </c>
      <c r="G6" s="18">
        <v>1113</v>
      </c>
      <c r="H6" s="18">
        <v>1050</v>
      </c>
      <c r="I6" s="18">
        <f>G6+H6-C6-E6</f>
        <v>0</v>
      </c>
      <c r="J6" s="18">
        <f>C6-G6</f>
        <v>-488</v>
      </c>
      <c r="K6" s="21"/>
    </row>
    <row r="7" ht="20.05" customHeight="1">
      <c r="B7" s="29">
        <v>2021</v>
      </c>
      <c r="C7" s="17"/>
      <c r="D7" s="18"/>
      <c r="E7" s="18">
        <f>D7-C7</f>
        <v>0</v>
      </c>
      <c r="F7" s="35"/>
      <c r="G7" s="18"/>
      <c r="H7" s="18"/>
      <c r="I7" s="18">
        <f>G7+H7-C7-E7</f>
        <v>0</v>
      </c>
      <c r="J7" s="18"/>
      <c r="K7" s="18"/>
    </row>
    <row r="8" ht="20.05" customHeight="1">
      <c r="B8" s="30"/>
      <c r="C8" s="17">
        <v>631</v>
      </c>
      <c r="D8" s="18">
        <v>2402</v>
      </c>
      <c r="E8" s="18">
        <f>D8-C8</f>
        <v>1771</v>
      </c>
      <c r="F8" s="35">
        <f>284+20</f>
        <v>304</v>
      </c>
      <c r="G8" s="18">
        <v>1185</v>
      </c>
      <c r="H8" s="18">
        <v>1217</v>
      </c>
      <c r="I8" s="18">
        <f>G8+H8-C8-E8</f>
        <v>0</v>
      </c>
      <c r="J8" s="18">
        <f>C8-G8</f>
        <v>-554</v>
      </c>
      <c r="K8" s="21"/>
    </row>
    <row r="9" ht="20.05" customHeight="1">
      <c r="B9" s="30"/>
      <c r="C9" s="17">
        <v>680</v>
      </c>
      <c r="D9" s="18">
        <v>2533</v>
      </c>
      <c r="E9" s="18">
        <f>D9-C9</f>
        <v>1853</v>
      </c>
      <c r="F9" s="35">
        <f>25+298</f>
        <v>323</v>
      </c>
      <c r="G9" s="18">
        <v>862</v>
      </c>
      <c r="H9" s="18">
        <v>1671</v>
      </c>
      <c r="I9" s="18">
        <f>G9+H9-C9-E9</f>
        <v>0</v>
      </c>
      <c r="J9" s="18">
        <f>C9-G9</f>
        <v>-182</v>
      </c>
      <c r="K9" s="35">
        <f>J9</f>
        <v>-182</v>
      </c>
    </row>
    <row r="10" ht="20.05" customHeight="1">
      <c r="B10" s="30"/>
      <c r="C10" s="17"/>
      <c r="D10" s="18"/>
      <c r="E10" s="18"/>
      <c r="F10" s="21"/>
      <c r="G10" s="18"/>
      <c r="H10" s="18"/>
      <c r="I10" s="18"/>
      <c r="J10" s="18"/>
      <c r="K10" s="35">
        <f>'Model'!F30</f>
        <v>-64.6116686461268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08594" style="38" customWidth="1"/>
    <col min="2" max="2" width="12.875" style="38" customWidth="1"/>
    <col min="3" max="4" width="9.90625" style="38" customWidth="1"/>
    <col min="5" max="16384" width="16.3516" style="38" customWidth="1"/>
  </cols>
  <sheetData>
    <row r="1" ht="7.15" customHeight="1"/>
    <row r="2" ht="27.65" customHeight="1">
      <c r="B2" t="s" s="2">
        <v>53</v>
      </c>
      <c r="C2" s="2"/>
      <c r="D2" s="2"/>
    </row>
    <row r="3" ht="20.25" customHeight="1">
      <c r="B3" s="39"/>
      <c r="C3" t="s" s="4">
        <v>54</v>
      </c>
      <c r="D3" t="s" s="4">
        <v>38</v>
      </c>
    </row>
    <row r="4" ht="20.25" customHeight="1">
      <c r="B4" s="25">
        <v>2021</v>
      </c>
      <c r="C4" s="32"/>
      <c r="D4" s="8"/>
    </row>
    <row r="5" ht="20.05" customHeight="1">
      <c r="B5" s="30"/>
      <c r="C5" s="17">
        <v>424</v>
      </c>
      <c r="D5" s="22"/>
    </row>
    <row r="6" ht="20.05" customHeight="1">
      <c r="B6" s="30"/>
      <c r="C6" s="17">
        <v>1095</v>
      </c>
      <c r="D6" s="22"/>
    </row>
    <row r="7" ht="20.05" customHeight="1">
      <c r="B7" s="30"/>
      <c r="C7" s="17">
        <v>830</v>
      </c>
      <c r="D7" s="22"/>
    </row>
    <row r="8" ht="20.05" customHeight="1">
      <c r="B8" s="29">
        <v>2022</v>
      </c>
      <c r="C8" s="17">
        <v>810</v>
      </c>
      <c r="D8" s="21">
        <f>C8</f>
        <v>810</v>
      </c>
    </row>
    <row r="9" ht="20.05" customHeight="1">
      <c r="B9" s="30"/>
      <c r="C9" s="17"/>
      <c r="D9" s="21">
        <f>'Model'!F42</f>
        <v>787.234864180466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