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<sst xmlns="http://schemas.openxmlformats.org/spreadsheetml/2006/main" uniqueCount="59">
  <si>
    <t>Financial model</t>
  </si>
  <si>
    <t>Rpbn</t>
  </si>
  <si>
    <t>4Q 2021</t>
  </si>
  <si>
    <t xml:space="preserve">Cashflow 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</si>
  <si>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</si>
  <si>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</si>
  <si>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</si>
  <si>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</si>
  <si>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</si>
  <si>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</si>
  <si>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</si>
  <si>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</si>
  <si>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</si>
  <si>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</si>
  <si>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</si>
  <si>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</si>
  <si>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</si>
  <si>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</si>
  <si>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</si>
  <si>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</si>
  <si>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</si>
  <si>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</si>
  <si>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</si>
  <si>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</si>
  <si>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</si>
  <si>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</si>
  <si>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</si>
  <si>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>Net cash</t>
  </si>
  <si>
    <t xml:space="preserve">Valuation </t>
  </si>
  <si>
    <t>Capital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</si>
  <si>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</si>
  <si>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</si>
  <si>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</si>
  <si>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</si>
  <si>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</si>
  <si>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</si>
  <si>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</si>
  <si>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</si>
  <si>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</si>
  <si>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</si>
  <si>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</si>
  <si>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</si>
  <si>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</si>
  <si>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>Cash cost ratio</t>
  </si>
  <si>
    <t xml:space="preserve">Cashflow costs </t>
  </si>
  <si>
    <t>Cashflow</t>
  </si>
  <si>
    <t>Receipts</t>
  </si>
  <si>
    <t>Leases</t>
  </si>
  <si>
    <t xml:space="preserve">Operating </t>
  </si>
  <si>
    <t xml:space="preserve">Investment </t>
  </si>
  <si>
    <t xml:space="preserve">Free cashflow </t>
  </si>
  <si>
    <t xml:space="preserve">Capital </t>
  </si>
  <si>
    <t>Cash</t>
  </si>
  <si>
    <t>Assets</t>
  </si>
  <si>
    <t>Check</t>
  </si>
  <si>
    <t xml:space="preserve">Net cash </t>
  </si>
  <si>
    <t>BKSL</t>
  </si>
  <si>
    <t>Share price</t>
  </si>
  <si>
    <t>Target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</si>
</sst>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772032</xdr:colOff>
      <xdr:row>1</xdr:row>
      <xdr:rowOff>269861</xdr:rowOff>
    </xdr:from>
    <xdr:to>
      <xdr:col>13</xdr:col>
      <xdr:colOff>615573</xdr:colOff>
      <xdr:row>45</xdr:row>
      <xdr:rowOff>202794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153532" y="545451"/>
          <a:ext cx="8555742" cy="112384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21875" style="1" customWidth="1"/>
    <col min="2" max="2" width="15.6172" style="1" customWidth="1"/>
    <col min="3" max="6" width="8.74219" style="1" customWidth="1"/>
    <col min="7" max="16384" width="16.3516" style="1" customWidth="1"/>
  </cols>
  <sheetData>
    <row r="1" ht="21.7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3">
        <v>2</v>
      </c>
      <c r="D3" s="4"/>
      <c r="E3" s="4"/>
      <c r="F3" s="4"/>
    </row>
    <row r="4" ht="20.25" customHeight="1">
      <c r="B4" t="s" s="5">
        <v>3</v>
      </c>
      <c r="C4" s="6">
        <f>AVERAGE('Sales'!G27:G30)</f>
        <v>1.23282481322639</v>
      </c>
      <c r="D4" s="7"/>
      <c r="E4" s="7"/>
      <c r="F4" s="8">
        <f>AVERAGE(C5:F5)</f>
        <v>0.1375</v>
      </c>
    </row>
    <row r="5" ht="20.05" customHeight="1">
      <c r="B5" t="s" s="9">
        <v>4</v>
      </c>
      <c r="C5" s="10">
        <v>0.6</v>
      </c>
      <c r="D5" s="11">
        <v>-0.35</v>
      </c>
      <c r="E5" s="11">
        <v>0.25</v>
      </c>
      <c r="F5" s="11">
        <v>0.05</v>
      </c>
    </row>
    <row r="6" ht="20.05" customHeight="1">
      <c r="B6" t="s" s="9">
        <v>5</v>
      </c>
      <c r="C6" s="12">
        <f>'Sales'!C30*(1+C5)</f>
        <v>319.36</v>
      </c>
      <c r="D6" s="13">
        <f>C6*(1+D5)</f>
        <v>207.584</v>
      </c>
      <c r="E6" s="13">
        <f>D6*(1+E5)</f>
        <v>259.48</v>
      </c>
      <c r="F6" s="13">
        <f>E6*(1+F5)</f>
        <v>272.454</v>
      </c>
    </row>
    <row r="7" ht="20.05" customHeight="1">
      <c r="B7" t="s" s="9">
        <v>6</v>
      </c>
      <c r="C7" s="14">
        <f>AVERAGE('Sales'!I29)</f>
        <v>-0.853025240948324</v>
      </c>
      <c r="D7" s="15">
        <f>C7</f>
        <v>-0.853025240948324</v>
      </c>
      <c r="E7" s="15">
        <f>D7</f>
        <v>-0.853025240948324</v>
      </c>
      <c r="F7" s="15">
        <f>E7</f>
        <v>-0.853025240948324</v>
      </c>
    </row>
    <row r="8" ht="20.05" customHeight="1">
      <c r="B8" t="s" s="9">
        <v>7</v>
      </c>
      <c r="C8" s="16">
        <f>C6*C7</f>
        <v>-272.422140949257</v>
      </c>
      <c r="D8" s="17">
        <f>D6*D7</f>
        <v>-177.074391617017</v>
      </c>
      <c r="E8" s="17">
        <f>E6*E7</f>
        <v>-221.342989521271</v>
      </c>
      <c r="F8" s="17">
        <f>F6*F7</f>
        <v>-232.410138997335</v>
      </c>
    </row>
    <row r="9" ht="20.05" customHeight="1">
      <c r="B9" t="s" s="9">
        <v>8</v>
      </c>
      <c r="C9" s="16">
        <f>C6+C8</f>
        <v>46.937859050743</v>
      </c>
      <c r="D9" s="17">
        <f>D6+D8</f>
        <v>30.509608382983</v>
      </c>
      <c r="E9" s="17">
        <f>E6+E8</f>
        <v>38.137010478729</v>
      </c>
      <c r="F9" s="17">
        <f>F6+F8</f>
        <v>40.043861002665</v>
      </c>
    </row>
    <row r="10" ht="20.05" customHeight="1">
      <c r="B10" t="s" s="9">
        <v>9</v>
      </c>
      <c r="C10" s="16">
        <f>AVERAGE('Cashflow '!F29)</f>
        <v>0</v>
      </c>
      <c r="D10" s="17">
        <f>C10</f>
        <v>0</v>
      </c>
      <c r="E10" s="17">
        <f>D10</f>
        <v>0</v>
      </c>
      <c r="F10" s="17">
        <f>E10</f>
        <v>0</v>
      </c>
    </row>
    <row r="11" ht="20.05" customHeight="1">
      <c r="B11" t="s" s="9">
        <v>10</v>
      </c>
      <c r="C11" s="16">
        <f>C12+C13+C15</f>
        <v>-46.937859050743</v>
      </c>
      <c r="D11" s="17">
        <f>D12+D13+D15</f>
        <v>-30.509608382983</v>
      </c>
      <c r="E11" s="17">
        <f>E12+E13+E15</f>
        <v>-38.137010478729</v>
      </c>
      <c r="F11" s="17">
        <f>F12+F13+F15</f>
        <v>-40.043861002665</v>
      </c>
    </row>
    <row r="12" ht="20.05" customHeight="1">
      <c r="B12" t="s" s="9">
        <v>11</v>
      </c>
      <c r="C12" s="16">
        <f>-'Balance sheet'!G30/20</f>
        <v>-324.35</v>
      </c>
      <c r="D12" s="17">
        <f>-C26/20</f>
        <v>-308.1325</v>
      </c>
      <c r="E12" s="17">
        <f>-D26/20</f>
        <v>-292.725875</v>
      </c>
      <c r="F12" s="17">
        <f>-E26/20</f>
        <v>-278.08958125</v>
      </c>
    </row>
    <row r="13" ht="20.05" customHeight="1">
      <c r="B13" t="s" s="9">
        <v>12</v>
      </c>
      <c r="C13" s="16">
        <v>0</v>
      </c>
      <c r="D13" s="17">
        <v>0</v>
      </c>
      <c r="E13" s="17">
        <v>0</v>
      </c>
      <c r="F13" s="17">
        <v>0</v>
      </c>
    </row>
    <row r="14" ht="20.05" customHeight="1">
      <c r="B14" t="s" s="9">
        <v>13</v>
      </c>
      <c r="C14" s="16">
        <f>C9+C10+C12+C13</f>
        <v>-277.412140949257</v>
      </c>
      <c r="D14" s="17">
        <f>D9+D10+D12+D13</f>
        <v>-277.622891617017</v>
      </c>
      <c r="E14" s="17">
        <f>E9+E10+E12+E13</f>
        <v>-254.588864521271</v>
      </c>
      <c r="F14" s="17">
        <f>F9+F10+F12+F13</f>
        <v>-238.045720247335</v>
      </c>
    </row>
    <row r="15" ht="20.05" customHeight="1">
      <c r="B15" t="s" s="9">
        <v>14</v>
      </c>
      <c r="C15" s="16">
        <f>-MIN(0,C14)</f>
        <v>277.412140949257</v>
      </c>
      <c r="D15" s="17">
        <f>-MIN(C27,D14)</f>
        <v>277.622891617017</v>
      </c>
      <c r="E15" s="17">
        <f>-MIN(D27,E14)</f>
        <v>254.588864521271</v>
      </c>
      <c r="F15" s="17">
        <f>-MIN(E27,F14)</f>
        <v>238.045720247335</v>
      </c>
    </row>
    <row r="16" ht="20.05" customHeight="1">
      <c r="B16" t="s" s="9">
        <v>15</v>
      </c>
      <c r="C16" s="16">
        <f>'Balance sheet'!C30</f>
        <v>379</v>
      </c>
      <c r="D16" s="17">
        <f>C18</f>
        <v>379</v>
      </c>
      <c r="E16" s="17">
        <f>D18</f>
        <v>379</v>
      </c>
      <c r="F16" s="17">
        <f>E18</f>
        <v>379</v>
      </c>
    </row>
    <row r="17" ht="20.05" customHeight="1">
      <c r="B17" t="s" s="9">
        <v>16</v>
      </c>
      <c r="C17" s="16">
        <f>C9+C10+C11</f>
        <v>0</v>
      </c>
      <c r="D17" s="17">
        <f>D9+D10+D11</f>
        <v>0</v>
      </c>
      <c r="E17" s="17">
        <f>E9+E10+E11</f>
        <v>0</v>
      </c>
      <c r="F17" s="17">
        <f>F9+F10+F11</f>
        <v>0</v>
      </c>
    </row>
    <row r="18" ht="20.05" customHeight="1">
      <c r="B18" t="s" s="9">
        <v>17</v>
      </c>
      <c r="C18" s="16">
        <f>C16+C17</f>
        <v>379</v>
      </c>
      <c r="D18" s="17">
        <f>D16+D17</f>
        <v>379</v>
      </c>
      <c r="E18" s="17">
        <f>E16+E17</f>
        <v>379</v>
      </c>
      <c r="F18" s="17">
        <f>F16+F17</f>
        <v>379</v>
      </c>
    </row>
    <row r="19" ht="20.05" customHeight="1">
      <c r="B19" t="s" s="18">
        <v>18</v>
      </c>
      <c r="C19" s="19"/>
      <c r="D19" s="20"/>
      <c r="E19" s="20"/>
      <c r="F19" s="20"/>
    </row>
    <row r="20" ht="20.05" customHeight="1">
      <c r="B20" t="s" s="9">
        <v>19</v>
      </c>
      <c r="C20" s="16">
        <f>-AVERAGE('Sales'!E30)</f>
        <v>-3.1</v>
      </c>
      <c r="D20" s="17">
        <f>C20</f>
        <v>-3.1</v>
      </c>
      <c r="E20" s="17">
        <f>D20</f>
        <v>-3.1</v>
      </c>
      <c r="F20" s="17">
        <f>E20</f>
        <v>-3.1</v>
      </c>
    </row>
    <row r="21" ht="20.05" customHeight="1">
      <c r="B21" t="s" s="9">
        <v>20</v>
      </c>
      <c r="C21" s="16">
        <f>C6+C8+C20</f>
        <v>43.837859050743</v>
      </c>
      <c r="D21" s="17">
        <f>D6+D8+D20</f>
        <v>27.409608382983</v>
      </c>
      <c r="E21" s="17">
        <f>E6+E8+E20</f>
        <v>35.037010478729</v>
      </c>
      <c r="F21" s="17">
        <f>F6+F8+F20</f>
        <v>36.943861002665</v>
      </c>
    </row>
    <row r="22" ht="20.05" customHeight="1">
      <c r="B22" t="s" s="18">
        <v>21</v>
      </c>
      <c r="C22" s="19"/>
      <c r="D22" s="20"/>
      <c r="E22" s="20"/>
      <c r="F22" s="20"/>
    </row>
    <row r="23" ht="20.05" customHeight="1">
      <c r="B23" t="s" s="9">
        <v>22</v>
      </c>
      <c r="C23" s="16">
        <f>'Balance sheet'!E30+'Balance sheet'!F30-C10</f>
        <v>16867</v>
      </c>
      <c r="D23" s="17">
        <f>C23-D10</f>
        <v>16867</v>
      </c>
      <c r="E23" s="17">
        <f>D23-E10</f>
        <v>16867</v>
      </c>
      <c r="F23" s="17">
        <f>E23-F10</f>
        <v>16867</v>
      </c>
    </row>
    <row r="24" ht="20.05" customHeight="1">
      <c r="B24" t="s" s="9">
        <v>23</v>
      </c>
      <c r="C24" s="16">
        <f>'Balance sheet'!F30-C20</f>
        <v>187.1</v>
      </c>
      <c r="D24" s="17">
        <f>C24-D20</f>
        <v>190.2</v>
      </c>
      <c r="E24" s="17">
        <f>D24-E20</f>
        <v>193.3</v>
      </c>
      <c r="F24" s="17">
        <f>E24-F20</f>
        <v>196.4</v>
      </c>
    </row>
    <row r="25" ht="20.05" customHeight="1">
      <c r="B25" t="s" s="9">
        <v>24</v>
      </c>
      <c r="C25" s="16">
        <f>C23-C24</f>
        <v>16679.9</v>
      </c>
      <c r="D25" s="17">
        <f>D23-D24</f>
        <v>16676.8</v>
      </c>
      <c r="E25" s="17">
        <f>E23-E24</f>
        <v>16673.7</v>
      </c>
      <c r="F25" s="17">
        <f>F23-F24</f>
        <v>16670.6</v>
      </c>
    </row>
    <row r="26" ht="20.05" customHeight="1">
      <c r="B26" t="s" s="9">
        <v>11</v>
      </c>
      <c r="C26" s="16">
        <f>'Balance sheet'!G30+C12</f>
        <v>6162.65</v>
      </c>
      <c r="D26" s="17">
        <f>C26+D12</f>
        <v>5854.5175</v>
      </c>
      <c r="E26" s="17">
        <f>D26+E12</f>
        <v>5561.791625</v>
      </c>
      <c r="F26" s="17">
        <f>E26+F12</f>
        <v>5283.70204375</v>
      </c>
    </row>
    <row r="27" ht="20.05" customHeight="1">
      <c r="B27" t="s" s="9">
        <v>14</v>
      </c>
      <c r="C27" s="16">
        <f>C15</f>
        <v>277.412140949257</v>
      </c>
      <c r="D27" s="17">
        <f>C27+D15</f>
        <v>555.035032566274</v>
      </c>
      <c r="E27" s="17">
        <f>D27+E15</f>
        <v>809.6238970875449</v>
      </c>
      <c r="F27" s="17">
        <f>E27+F15</f>
        <v>1047.669617334880</v>
      </c>
    </row>
    <row r="28" ht="20.05" customHeight="1">
      <c r="B28" t="s" s="9">
        <v>25</v>
      </c>
      <c r="C28" s="16">
        <f>'Balance sheet'!H30+C21+C13</f>
        <v>10618.8378590507</v>
      </c>
      <c r="D28" s="17">
        <f>C28+D21+D13</f>
        <v>10646.2474674337</v>
      </c>
      <c r="E28" s="17">
        <f>D28+E21+E13</f>
        <v>10681.2844779124</v>
      </c>
      <c r="F28" s="17">
        <f>E28+F21+F13</f>
        <v>10718.2283389151</v>
      </c>
    </row>
    <row r="29" ht="20.05" customHeight="1">
      <c r="B29" t="s" s="9">
        <v>26</v>
      </c>
      <c r="C29" s="16">
        <f>C26+C27+C28-C18-C25</f>
        <v>-4.3e-11</v>
      </c>
      <c r="D29" s="17">
        <f>D26+D27+D28-D18-D25</f>
        <v>-2.6e-11</v>
      </c>
      <c r="E29" s="17">
        <f>E26+E27+E28-E18-E25</f>
        <v>-5.5e-11</v>
      </c>
      <c r="F29" s="17">
        <f>F26+F27+F28-F18-F25</f>
        <v>-2e-11</v>
      </c>
    </row>
    <row r="30" ht="20.05" customHeight="1">
      <c r="B30" t="s" s="9">
        <v>27</v>
      </c>
      <c r="C30" s="16">
        <f>C18-C26-C27</f>
        <v>-6061.062140949260</v>
      </c>
      <c r="D30" s="17">
        <f>D18-D26-D27</f>
        <v>-6030.552532566270</v>
      </c>
      <c r="E30" s="17">
        <f>E18-E26-E27</f>
        <v>-5992.415522087550</v>
      </c>
      <c r="F30" s="17">
        <f>F18-F26-F27</f>
        <v>-5952.371661084880</v>
      </c>
    </row>
    <row r="31" ht="20.05" customHeight="1">
      <c r="B31" t="s" s="18">
        <v>28</v>
      </c>
      <c r="C31" s="16"/>
      <c r="D31" s="17"/>
      <c r="E31" s="17"/>
      <c r="F31" s="17"/>
    </row>
    <row r="32" ht="20.05" customHeight="1">
      <c r="B32" t="s" s="9">
        <v>29</v>
      </c>
      <c r="C32" s="16">
        <f>'Cashflow '!J30-C11</f>
        <v>-3389.662140949260</v>
      </c>
      <c r="D32" s="17">
        <f>C32-D11</f>
        <v>-3359.152532566280</v>
      </c>
      <c r="E32" s="17">
        <f>D32-E11</f>
        <v>-3321.015522087550</v>
      </c>
      <c r="F32" s="17">
        <f>E32-F11</f>
        <v>-3280.971661084890</v>
      </c>
    </row>
    <row r="33" ht="20.05" customHeight="1">
      <c r="B33" t="s" s="9">
        <v>30</v>
      </c>
      <c r="C33" s="16"/>
      <c r="D33" s="17"/>
      <c r="E33" s="17"/>
      <c r="F33" s="17">
        <v>4220</v>
      </c>
    </row>
    <row r="34" ht="20.05" customHeight="1">
      <c r="B34" t="s" s="9">
        <v>31</v>
      </c>
      <c r="C34" s="16"/>
      <c r="D34" s="17"/>
      <c r="E34" s="17"/>
      <c r="F34" s="21">
        <f>F33/(F18+F25)</f>
        <v>0.247513138138138</v>
      </c>
    </row>
    <row r="35" ht="20.05" customHeight="1">
      <c r="B35" t="s" s="9">
        <v>32</v>
      </c>
      <c r="C35" s="16"/>
      <c r="D35" s="17"/>
      <c r="E35" s="17"/>
      <c r="F35" s="15">
        <f>-(C13+D13+E13+F13)/F33</f>
        <v>0</v>
      </c>
    </row>
    <row r="36" ht="20.05" customHeight="1">
      <c r="B36" t="s" s="9">
        <v>3</v>
      </c>
      <c r="C36" s="16"/>
      <c r="D36" s="17"/>
      <c r="E36" s="17"/>
      <c r="F36" s="17">
        <f>SUM(C9:F10)</f>
        <v>155.628338915120</v>
      </c>
    </row>
    <row r="37" ht="20.05" customHeight="1">
      <c r="B37" t="s" s="9">
        <v>33</v>
      </c>
      <c r="C37" s="16"/>
      <c r="D37" s="17"/>
      <c r="E37" s="17"/>
      <c r="F37" s="17">
        <f>'Balance sheet'!E30/F36</f>
        <v>107.197700086608</v>
      </c>
    </row>
    <row r="38" ht="20.05" customHeight="1">
      <c r="B38" t="s" s="9">
        <v>28</v>
      </c>
      <c r="C38" s="16"/>
      <c r="D38" s="17"/>
      <c r="E38" s="17"/>
      <c r="F38" s="17">
        <f>F33/F36</f>
        <v>27.1158840955155</v>
      </c>
    </row>
    <row r="39" ht="20.05" customHeight="1">
      <c r="B39" t="s" s="9">
        <v>34</v>
      </c>
      <c r="C39" s="16"/>
      <c r="D39" s="17"/>
      <c r="E39" s="17"/>
      <c r="F39" s="17">
        <v>35</v>
      </c>
    </row>
    <row r="40" ht="20.05" customHeight="1">
      <c r="B40" t="s" s="9">
        <v>35</v>
      </c>
      <c r="C40" s="16"/>
      <c r="D40" s="17"/>
      <c r="E40" s="17"/>
      <c r="F40" s="17">
        <f>F36*F39</f>
        <v>5446.9918620292</v>
      </c>
    </row>
    <row r="41" ht="20.05" customHeight="1">
      <c r="B41" t="s" s="9">
        <v>36</v>
      </c>
      <c r="C41" s="16"/>
      <c r="D41" s="17"/>
      <c r="E41" s="17"/>
      <c r="F41" s="17">
        <f>F33/F43</f>
        <v>63.9393939393939</v>
      </c>
    </row>
    <row r="42" ht="20.05" customHeight="1">
      <c r="B42" t="s" s="9">
        <v>37</v>
      </c>
      <c r="C42" s="16"/>
      <c r="D42" s="17"/>
      <c r="E42" s="17"/>
      <c r="F42" s="17">
        <f>F40/F41</f>
        <v>85.18992011704439</v>
      </c>
    </row>
    <row r="43" ht="20.05" customHeight="1">
      <c r="B43" t="s" s="9">
        <v>38</v>
      </c>
      <c r="C43" s="16"/>
      <c r="D43" s="17"/>
      <c r="E43" s="17"/>
      <c r="F43" s="17">
        <f>'Share price'!C98</f>
        <v>66</v>
      </c>
    </row>
    <row r="44" ht="20.05" customHeight="1">
      <c r="B44" t="s" s="9">
        <v>39</v>
      </c>
      <c r="C44" s="16"/>
      <c r="D44" s="17"/>
      <c r="E44" s="17"/>
      <c r="F44" s="15">
        <f>F42/F43-1</f>
        <v>0.290756365409764</v>
      </c>
    </row>
    <row r="45" ht="20.05" customHeight="1">
      <c r="B45" t="s" s="9">
        <v>40</v>
      </c>
      <c r="C45" s="16"/>
      <c r="D45" s="17"/>
      <c r="E45" s="17"/>
      <c r="F45" s="15">
        <f>'Sales'!C30/'Sales'!C26-1</f>
        <v>1.27594070695553</v>
      </c>
    </row>
    <row r="46" ht="20.05" customHeight="1">
      <c r="B46" t="s" s="9">
        <v>41</v>
      </c>
      <c r="C46" s="16"/>
      <c r="D46" s="17"/>
      <c r="E46" s="17"/>
      <c r="F46" s="15">
        <f>('Sales'!D23+'Sales'!D30+'Sales'!D24+'Sales'!D25+'Sales'!D26+'Sales'!D27+'Sales'!D28+'Sales'!D29)/('Sales'!C23+'Sales'!C24+'Sales'!C25+'Sales'!C26+'Sales'!C27+'Sales'!C28+'Sales'!C30+'Sales'!C29)-1</f>
        <v>-0.441178855371545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0938" style="22" customWidth="1"/>
    <col min="2" max="2" width="9.77344" style="22" customWidth="1"/>
    <col min="3" max="10" width="10.6875" style="22" customWidth="1"/>
    <col min="11" max="16384" width="16.3516" style="22" customWidth="1"/>
  </cols>
  <sheetData>
    <row r="1" ht="70.6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23">
        <v>1</v>
      </c>
      <c r="C3" t="s" s="23">
        <v>5</v>
      </c>
      <c r="D3" t="s" s="23">
        <v>34</v>
      </c>
      <c r="E3" t="s" s="23">
        <v>23</v>
      </c>
      <c r="F3" t="s" s="23">
        <v>20</v>
      </c>
      <c r="G3" t="s" s="23">
        <v>42</v>
      </c>
      <c r="H3" t="s" s="23">
        <v>43</v>
      </c>
      <c r="I3" t="s" s="23">
        <v>44</v>
      </c>
      <c r="J3" t="s" s="23">
        <v>44</v>
      </c>
    </row>
    <row r="4" ht="20.25" customHeight="1">
      <c r="B4" s="24">
        <v>2015</v>
      </c>
      <c r="C4" s="25">
        <v>157.34</v>
      </c>
      <c r="D4" s="26"/>
      <c r="E4" s="26">
        <v>3</v>
      </c>
      <c r="F4" s="27">
        <v>-9</v>
      </c>
      <c r="G4" s="28"/>
      <c r="H4" s="28">
        <f>(E4+F4-C4)/C4</f>
        <v>-1.03813397737384</v>
      </c>
      <c r="I4" s="28"/>
      <c r="J4" s="28"/>
    </row>
    <row r="5" ht="20.05" customHeight="1">
      <c r="B5" s="29"/>
      <c r="C5" s="12">
        <v>124.66</v>
      </c>
      <c r="D5" s="13"/>
      <c r="E5" s="13">
        <v>3</v>
      </c>
      <c r="F5" s="17">
        <v>-53.6</v>
      </c>
      <c r="G5" s="15">
        <f>C5/C4-1</f>
        <v>-0.207703063429516</v>
      </c>
      <c r="H5" s="15">
        <f>(E5+F5-C5)/C5</f>
        <v>-1.40590405904059</v>
      </c>
      <c r="I5" s="15"/>
      <c r="J5" s="15"/>
    </row>
    <row r="6" ht="20.05" customHeight="1">
      <c r="B6" s="29"/>
      <c r="C6" s="12">
        <v>116</v>
      </c>
      <c r="D6" s="13"/>
      <c r="E6" s="13">
        <v>3</v>
      </c>
      <c r="F6" s="17">
        <v>-55</v>
      </c>
      <c r="G6" s="15">
        <f>C6/C5-1</f>
        <v>-0.0694689555591208</v>
      </c>
      <c r="H6" s="15">
        <f>(E6+F6-C6)/C6</f>
        <v>-1.44827586206897</v>
      </c>
      <c r="I6" s="15"/>
      <c r="J6" s="15"/>
    </row>
    <row r="7" ht="20.05" customHeight="1">
      <c r="B7" s="29"/>
      <c r="C7" s="12">
        <v>161.8</v>
      </c>
      <c r="D7" s="13"/>
      <c r="E7" s="13">
        <v>4</v>
      </c>
      <c r="F7" s="17">
        <v>179.2</v>
      </c>
      <c r="G7" s="15">
        <f>C7/C6-1</f>
        <v>0.394827586206897</v>
      </c>
      <c r="H7" s="15">
        <f>(E7+F7-C7)/C7</f>
        <v>0.132262051915946</v>
      </c>
      <c r="I7" s="15"/>
      <c r="J7" s="15"/>
    </row>
    <row r="8" ht="20.05" customHeight="1">
      <c r="B8" s="30">
        <v>2016</v>
      </c>
      <c r="C8" s="12">
        <v>143.4</v>
      </c>
      <c r="D8" s="13"/>
      <c r="E8" s="13">
        <v>3</v>
      </c>
      <c r="F8" s="17">
        <v>21.4</v>
      </c>
      <c r="G8" s="15">
        <f>C8/C7-1</f>
        <v>-0.11372064276885</v>
      </c>
      <c r="H8" s="15">
        <f>(E8+F8-C8)/C8</f>
        <v>-0.829846582984658</v>
      </c>
      <c r="I8" s="15">
        <f>AVERAGE(J5:J8)</f>
        <v>-1.08832807570978</v>
      </c>
      <c r="J8" s="15">
        <f>('Cashflow '!E8-'Cashflow '!C8)/'Cashflow '!C8</f>
        <v>-1.08832807570978</v>
      </c>
    </row>
    <row r="9" ht="20.05" customHeight="1">
      <c r="B9" s="29"/>
      <c r="C9" s="12">
        <v>108.8</v>
      </c>
      <c r="D9" s="13"/>
      <c r="E9" s="13">
        <v>4</v>
      </c>
      <c r="F9" s="17">
        <v>31.96</v>
      </c>
      <c r="G9" s="15">
        <f>C9/C8-1</f>
        <v>-0.241283124128312</v>
      </c>
      <c r="H9" s="15">
        <f>(E9+F9-C9)/C9</f>
        <v>-0.669485294117647</v>
      </c>
      <c r="I9" s="15">
        <f>AVERAGE(J6:J9)</f>
        <v>-0.934081733328141</v>
      </c>
      <c r="J9" s="15">
        <f>('Cashflow '!E9-'Cashflow '!C9)/'Cashflow '!C9</f>
        <v>-0.779835390946502</v>
      </c>
    </row>
    <row r="10" ht="20.05" customHeight="1">
      <c r="B10" s="29"/>
      <c r="C10" s="12">
        <v>225.8</v>
      </c>
      <c r="D10" s="13"/>
      <c r="E10" s="13">
        <v>2</v>
      </c>
      <c r="F10" s="17">
        <v>64.14</v>
      </c>
      <c r="G10" s="15">
        <f>C10/C9-1</f>
        <v>1.07536764705882</v>
      </c>
      <c r="H10" s="15">
        <f>(E10+F10-C10)/C10</f>
        <v>-0.707085916740478</v>
      </c>
      <c r="I10" s="15">
        <f>AVERAGE(J7:J10)</f>
        <v>-1.07933939606864</v>
      </c>
      <c r="J10" s="15">
        <f>('Cashflow '!E10-'Cashflow '!C10)/'Cashflow '!C10</f>
        <v>-1.36985472154964</v>
      </c>
    </row>
    <row r="11" ht="20.05" customHeight="1">
      <c r="B11" s="29"/>
      <c r="C11" s="12">
        <v>728.5</v>
      </c>
      <c r="D11" s="13"/>
      <c r="E11" s="13">
        <v>4</v>
      </c>
      <c r="F11" s="17">
        <v>444.9</v>
      </c>
      <c r="G11" s="15">
        <f>C11/C10-1</f>
        <v>2.22630646589903</v>
      </c>
      <c r="H11" s="15">
        <f>(E11+F11-C11)/C11</f>
        <v>-0.383802333562114</v>
      </c>
      <c r="I11" s="15">
        <f>AVERAGE(J8:J11)</f>
        <v>-1.33458346920042</v>
      </c>
      <c r="J11" s="15">
        <f>('Cashflow '!E11-'Cashflow '!C11)/'Cashflow '!C11</f>
        <v>-2.10031568859575</v>
      </c>
    </row>
    <row r="12" ht="20.05" customHeight="1">
      <c r="B12" s="30">
        <v>2017</v>
      </c>
      <c r="C12" s="12">
        <v>162.5</v>
      </c>
      <c r="D12" s="13"/>
      <c r="E12" s="13">
        <v>3</v>
      </c>
      <c r="F12" s="17">
        <v>-43.9</v>
      </c>
      <c r="G12" s="15">
        <f>C12/C11-1</f>
        <v>-0.776938915579959</v>
      </c>
      <c r="H12" s="15">
        <f>(E12+F12-C12)/C12</f>
        <v>-1.25169230769231</v>
      </c>
      <c r="I12" s="15">
        <f>AVERAGE(J9:J12)</f>
        <v>-1.49340273782662</v>
      </c>
      <c r="J12" s="15">
        <f>('Cashflow '!E12-'Cashflow '!C12)/'Cashflow '!C12</f>
        <v>-1.72360515021459</v>
      </c>
    </row>
    <row r="13" ht="20.05" customHeight="1">
      <c r="B13" s="29"/>
      <c r="C13" s="12">
        <v>312.2</v>
      </c>
      <c r="D13" s="13"/>
      <c r="E13" s="13">
        <v>3</v>
      </c>
      <c r="F13" s="17">
        <v>123.9</v>
      </c>
      <c r="G13" s="15">
        <f>C13/C12-1</f>
        <v>0.921230769230769</v>
      </c>
      <c r="H13" s="15">
        <f>(E13+F13-C13)/C13</f>
        <v>-0.593529788597053</v>
      </c>
      <c r="I13" s="15">
        <f>AVERAGE(J10:J13)</f>
        <v>-1.99281527357237</v>
      </c>
      <c r="J13" s="15">
        <f>('Cashflow '!E13-'Cashflow '!C13)/'Cashflow '!C13</f>
        <v>-2.77748553392951</v>
      </c>
    </row>
    <row r="14" ht="20.05" customHeight="1">
      <c r="B14" s="29"/>
      <c r="C14" s="12">
        <v>240.3</v>
      </c>
      <c r="D14" s="13"/>
      <c r="E14" s="13">
        <v>2</v>
      </c>
      <c r="F14" s="17">
        <v>1.19</v>
      </c>
      <c r="G14" s="15">
        <f>C14/C13-1</f>
        <v>-0.230301089045484</v>
      </c>
      <c r="H14" s="15">
        <f>(E14+F14-C14)/C14</f>
        <v>-0.986724927174365</v>
      </c>
      <c r="I14" s="15">
        <f>AVERAGE(J11:J14)</f>
        <v>-1.77400750716346</v>
      </c>
      <c r="J14" s="15">
        <f>('Cashflow '!E14-'Cashflow '!C14)/'Cashflow '!C14</f>
        <v>-0.494623655913978</v>
      </c>
    </row>
    <row r="15" ht="20.05" customHeight="1">
      <c r="B15" s="29"/>
      <c r="C15" s="12">
        <v>908.4</v>
      </c>
      <c r="D15" s="13"/>
      <c r="E15" s="13">
        <v>5</v>
      </c>
      <c r="F15" s="17">
        <v>387.31</v>
      </c>
      <c r="G15" s="15">
        <f>C15/C14-1</f>
        <v>2.78027465667915</v>
      </c>
      <c r="H15" s="15">
        <f>(E15+F15-C15)/C15</f>
        <v>-0.568130779392338</v>
      </c>
      <c r="I15" s="15">
        <f>AVERAGE(J12:J15)</f>
        <v>-1.38656107530731</v>
      </c>
      <c r="J15" s="15">
        <f>('Cashflow '!E15-'Cashflow '!C15)/'Cashflow '!C15</f>
        <v>-0.550529961171162</v>
      </c>
    </row>
    <row r="16" ht="20.05" customHeight="1">
      <c r="B16" s="30">
        <v>2018</v>
      </c>
      <c r="C16" s="12">
        <v>337.9</v>
      </c>
      <c r="D16" s="13"/>
      <c r="E16" s="13">
        <v>3</v>
      </c>
      <c r="F16" s="17">
        <v>125.7</v>
      </c>
      <c r="G16" s="15">
        <f>C16/C15-1</f>
        <v>-0.6280273007485691</v>
      </c>
      <c r="H16" s="15">
        <f>(E16+F16-C16)/C16</f>
        <v>-0.619118082272862</v>
      </c>
      <c r="I16" s="15">
        <f>AVERAGE(J13:J16)</f>
        <v>-1.6314462391518</v>
      </c>
      <c r="J16" s="15">
        <f>('Cashflow '!E16-'Cashflow '!C16)/'Cashflow '!C16</f>
        <v>-2.70314580559254</v>
      </c>
    </row>
    <row r="17" ht="20.05" customHeight="1">
      <c r="B17" s="29"/>
      <c r="C17" s="12">
        <v>207.2</v>
      </c>
      <c r="D17" s="13"/>
      <c r="E17" s="13">
        <v>4</v>
      </c>
      <c r="F17" s="17">
        <v>-74.62</v>
      </c>
      <c r="G17" s="15">
        <f>C17/C16-1</f>
        <v>-0.386800828647529</v>
      </c>
      <c r="H17" s="15">
        <f>(E17+F17-C17)/C17</f>
        <v>-1.34083011583012</v>
      </c>
      <c r="I17" s="15">
        <f>AVERAGE(J14:J17)</f>
        <v>-1.50457989778592</v>
      </c>
      <c r="J17" s="15">
        <f>('Cashflow '!E17-'Cashflow '!C17)/'Cashflow '!C17</f>
        <v>-2.27002016846601</v>
      </c>
    </row>
    <row r="18" ht="20.05" customHeight="1">
      <c r="B18" s="29"/>
      <c r="C18" s="12">
        <v>256.065</v>
      </c>
      <c r="D18" s="13"/>
      <c r="E18" s="13">
        <v>5</v>
      </c>
      <c r="F18" s="17">
        <v>-7.798</v>
      </c>
      <c r="G18" s="15">
        <f>C18/C17-1</f>
        <v>0.235834942084942</v>
      </c>
      <c r="H18" s="15">
        <f>(E18+F18-C18)/C18</f>
        <v>-1.01092691308847</v>
      </c>
      <c r="I18" s="15">
        <f>AVERAGE(J15:J18)</f>
        <v>-1.80273861418435</v>
      </c>
      <c r="J18" s="15">
        <f>('Cashflow '!E18-'Cashflow '!C18)/'Cashflow '!C18</f>
        <v>-1.68725852150768</v>
      </c>
    </row>
    <row r="19" ht="20.05" customHeight="1">
      <c r="B19" s="29"/>
      <c r="C19" s="12">
        <v>514.835</v>
      </c>
      <c r="D19" s="13"/>
      <c r="E19" s="13">
        <v>2</v>
      </c>
      <c r="F19" s="17">
        <v>325.218</v>
      </c>
      <c r="G19" s="15">
        <f>C19/C18-1</f>
        <v>1.01056372405444</v>
      </c>
      <c r="H19" s="15">
        <f>(E19+F19-C19)/C19</f>
        <v>-0.364421610807346</v>
      </c>
      <c r="I19" s="15">
        <f>AVERAGE(J16:J19)</f>
        <v>-0.833097331196258</v>
      </c>
      <c r="J19" s="15">
        <f>('Cashflow '!E19-'Cashflow '!C19)/'Cashflow '!C19</f>
        <v>3.3280351707812</v>
      </c>
    </row>
    <row r="20" ht="20.05" customHeight="1">
      <c r="B20" s="30">
        <v>2019</v>
      </c>
      <c r="C20" s="12">
        <v>219.69</v>
      </c>
      <c r="D20" s="13"/>
      <c r="E20" s="13">
        <v>4</v>
      </c>
      <c r="F20" s="17">
        <v>56.15</v>
      </c>
      <c r="G20" s="15">
        <f>C20/C19-1</f>
        <v>-0.573280759855099</v>
      </c>
      <c r="H20" s="15">
        <f>(E20+F20-C20)/C20</f>
        <v>-0.726205107196504</v>
      </c>
      <c r="I20" s="15">
        <f>AVERAGE(J17:J20)</f>
        <v>-0.554982448425573</v>
      </c>
      <c r="J20" s="15">
        <f>('Cashflow '!E20-'Cashflow '!C20)/'Cashflow '!C20</f>
        <v>-1.5906862745098</v>
      </c>
    </row>
    <row r="21" ht="20.05" customHeight="1">
      <c r="B21" s="29"/>
      <c r="C21" s="12">
        <v>170.61</v>
      </c>
      <c r="D21" s="13"/>
      <c r="E21" s="13">
        <v>3</v>
      </c>
      <c r="F21" s="17">
        <v>-15.018</v>
      </c>
      <c r="G21" s="15">
        <f>C21/C20-1</f>
        <v>-0.223405708043152</v>
      </c>
      <c r="H21" s="15">
        <f>(E21+F21-C21)/C21</f>
        <v>-1.07044135748198</v>
      </c>
      <c r="I21" s="15">
        <f>AVERAGE(J18:J21)</f>
        <v>-0.09909962594340101</v>
      </c>
      <c r="J21" s="15">
        <f>('Cashflow '!E21-'Cashflow '!C21)/'Cashflow '!C21</f>
        <v>-0.446488878537324</v>
      </c>
    </row>
    <row r="22" ht="20.05" customHeight="1">
      <c r="B22" s="29"/>
      <c r="C22" s="12">
        <v>150.6</v>
      </c>
      <c r="D22" s="13"/>
      <c r="E22" s="13">
        <v>4</v>
      </c>
      <c r="F22" s="17">
        <v>-13.009</v>
      </c>
      <c r="G22" s="15">
        <f>C22/C21-1</f>
        <v>-0.117285036047125</v>
      </c>
      <c r="H22" s="15">
        <f>(E22+F22-C22)/C22</f>
        <v>-1.05982071713147</v>
      </c>
      <c r="I22" s="15">
        <f>AVERAGE(J19:J22)</f>
        <v>-1.14263774475051</v>
      </c>
      <c r="J22" s="15">
        <f>('Cashflow '!E22-'Cashflow '!C22)/'Cashflow '!C22</f>
        <v>-5.86141099673613</v>
      </c>
    </row>
    <row r="23" ht="20.05" customHeight="1">
      <c r="B23" s="29"/>
      <c r="C23" s="12">
        <v>410.5</v>
      </c>
      <c r="D23" s="13">
        <v>386.12625</v>
      </c>
      <c r="E23" s="13">
        <v>4</v>
      </c>
      <c r="F23" s="17">
        <v>40.777</v>
      </c>
      <c r="G23" s="15">
        <f>C23/C22-1</f>
        <v>1.7257636122178</v>
      </c>
      <c r="H23" s="15">
        <f>(E23+F23-C23)/C23</f>
        <v>-0.8909208282582221</v>
      </c>
      <c r="I23" s="15">
        <f>AVERAGE(J20:J23)</f>
        <v>-2.35047010992019</v>
      </c>
      <c r="J23" s="15">
        <f>('Cashflow '!E23-'Cashflow '!C23)/'Cashflow '!C23</f>
        <v>-1.50329428989751</v>
      </c>
    </row>
    <row r="24" ht="20.05" customHeight="1">
      <c r="B24" s="30">
        <v>2020</v>
      </c>
      <c r="C24" s="12">
        <v>112.7</v>
      </c>
      <c r="D24" s="13">
        <v>279.0063</v>
      </c>
      <c r="E24" s="13">
        <v>4</v>
      </c>
      <c r="F24" s="17">
        <v>-190.3</v>
      </c>
      <c r="G24" s="15">
        <f>C24/C23-1</f>
        <v>-0.7254567600487209</v>
      </c>
      <c r="H24" s="15">
        <f>(E24+F24-C24)/C24</f>
        <v>-2.6530612244898</v>
      </c>
      <c r="I24" s="15">
        <f>AVERAGE(J21:J24)</f>
        <v>-5.29514088363509</v>
      </c>
      <c r="J24" s="15">
        <f>('Cashflow '!E24-'Cashflow '!C24)/'Cashflow '!C24</f>
        <v>-13.3693693693694</v>
      </c>
    </row>
    <row r="25" ht="20.05" customHeight="1">
      <c r="B25" s="29"/>
      <c r="C25" s="12">
        <v>46.6</v>
      </c>
      <c r="D25" s="13">
        <v>216.6747</v>
      </c>
      <c r="E25" s="13">
        <v>3</v>
      </c>
      <c r="F25" s="17">
        <v>-47.7</v>
      </c>
      <c r="G25" s="15">
        <f>C25/C24-1</f>
        <v>-0.586512866015972</v>
      </c>
      <c r="H25" s="15">
        <f>(E25+F25-C25)/C25</f>
        <v>-1.95922746781116</v>
      </c>
      <c r="I25" s="15">
        <f>AVERAGE(J22:J25)</f>
        <v>-5.51620799939489</v>
      </c>
      <c r="J25" s="15">
        <f>('Cashflow '!E25-'Cashflow '!C25)/'Cashflow '!C25</f>
        <v>-1.33075734157651</v>
      </c>
    </row>
    <row r="26" ht="20.05" customHeight="1">
      <c r="B26" s="29"/>
      <c r="C26" s="12">
        <f>247-SUM(C24:C25)</f>
        <v>87.7</v>
      </c>
      <c r="D26" s="13">
        <v>58</v>
      </c>
      <c r="E26" s="13">
        <f>2+9-SUM(E24:E25)</f>
        <v>4</v>
      </c>
      <c r="F26" s="17">
        <f>-330-SUM(F24:F25)</f>
        <v>-92</v>
      </c>
      <c r="G26" s="15">
        <f>C26/C25-1</f>
        <v>0.881974248927039</v>
      </c>
      <c r="H26" s="15">
        <f>(E26+F26-C26)/C26</f>
        <v>-2.00342075256556</v>
      </c>
      <c r="I26" s="15">
        <f>AVERAGE(J23:J26)</f>
        <v>-4.26437456351558</v>
      </c>
      <c r="J26" s="15">
        <f>('Cashflow '!E26-'Cashflow '!C26)/'Cashflow '!C26</f>
        <v>-0.8540772532188839</v>
      </c>
    </row>
    <row r="27" ht="20.05" customHeight="1">
      <c r="B27" s="29"/>
      <c r="C27" s="12">
        <f>451.8-SUM(C24:C26)</f>
        <v>204.8</v>
      </c>
      <c r="D27" s="13">
        <v>114.01</v>
      </c>
      <c r="E27" s="13">
        <f>13.4-SUM(E24:E26)</f>
        <v>2.4</v>
      </c>
      <c r="F27" s="17">
        <f>-554.1-SUM(F24:F26)</f>
        <v>-224.1</v>
      </c>
      <c r="G27" s="15">
        <f>C27/C26-1</f>
        <v>1.33523375142531</v>
      </c>
      <c r="H27" s="15">
        <f>(E27+F27-C27)/C27</f>
        <v>-2.082519531250</v>
      </c>
      <c r="I27" s="15">
        <f>AVERAGE(J24:J27)</f>
        <v>-4.32125399437824</v>
      </c>
      <c r="J27" s="15">
        <f>('Cashflow '!E27-'Cashflow '!C27)/'Cashflow '!C27</f>
        <v>-1.73081201334816</v>
      </c>
    </row>
    <row r="28" ht="20.05" customHeight="1">
      <c r="B28" s="30">
        <v>2021</v>
      </c>
      <c r="C28" s="12">
        <v>462.7</v>
      </c>
      <c r="D28" s="13">
        <v>131.1115</v>
      </c>
      <c r="E28" s="17">
        <f>2.8+1</f>
        <v>3.8</v>
      </c>
      <c r="F28" s="17">
        <v>239.5</v>
      </c>
      <c r="G28" s="15">
        <f>C28/C27-1</f>
        <v>1.259277343750</v>
      </c>
      <c r="H28" s="15">
        <f>(E28+F28-C28)/C28</f>
        <v>-0.474173330451697</v>
      </c>
      <c r="I28" s="15">
        <f>AVERAGE(J25:J28)</f>
        <v>-1.09910578983566</v>
      </c>
      <c r="J28" s="15">
        <f>('Cashflow '!E28-'Cashflow '!C28)/'Cashflow '!C28</f>
        <v>-0.480776551199086</v>
      </c>
    </row>
    <row r="29" ht="20.05" customHeight="1">
      <c r="B29" s="29"/>
      <c r="C29" s="12">
        <f>2422.2-C28</f>
        <v>1959.5</v>
      </c>
      <c r="D29" s="13">
        <v>370.16</v>
      </c>
      <c r="E29" s="17">
        <f>2+5.5-E28</f>
        <v>3.7</v>
      </c>
      <c r="F29" s="17">
        <f>286.8-F28</f>
        <v>47.3</v>
      </c>
      <c r="G29" s="15">
        <f>C29/C28-1</f>
        <v>3.23492543764858</v>
      </c>
      <c r="H29" s="15">
        <f>(E29+F29-C29)/C29</f>
        <v>-0.973972952283746</v>
      </c>
      <c r="I29" s="15">
        <f>AVERAGE(J26:J29)</f>
        <v>-0.853025240948324</v>
      </c>
      <c r="J29" s="15">
        <f>('Cashflow '!E29-'Cashflow '!C29)/'Cashflow '!C29</f>
        <v>-0.346435146027166</v>
      </c>
    </row>
    <row r="30" ht="20.05" customHeight="1">
      <c r="B30" s="29"/>
      <c r="C30" s="12">
        <f>2621.8-SUM(C28:C29)</f>
        <v>199.6</v>
      </c>
      <c r="D30" s="13">
        <v>391.9</v>
      </c>
      <c r="E30" s="17">
        <f>10.6-SUM(E28:E29)</f>
        <v>3.1</v>
      </c>
      <c r="F30" s="17">
        <f>300-SUM(F28:F29)</f>
        <v>13.2</v>
      </c>
      <c r="G30" s="15">
        <f>C30/C29-1</f>
        <v>-0.898137279918347</v>
      </c>
      <c r="H30" s="15">
        <f>(E30+F30-C30)/C30</f>
        <v>-0.918336673346693</v>
      </c>
      <c r="I30" s="15">
        <f>AVERAGE(J27:J30)</f>
        <v>-1.13988055301823</v>
      </c>
      <c r="J30" s="15">
        <f>('Cashflow '!E30-'Cashflow '!C30)/'Cashflow '!C30</f>
        <v>-2.0014985014985</v>
      </c>
    </row>
    <row r="31" ht="20.05" customHeight="1">
      <c r="B31" s="29"/>
      <c r="C31" s="12"/>
      <c r="D31" s="13">
        <f>'Model'!C6</f>
        <v>319.36</v>
      </c>
      <c r="E31" s="31"/>
      <c r="F31" s="20"/>
      <c r="G31" s="11"/>
      <c r="H31" s="11">
        <f>'Model'!C7</f>
        <v>-0.853025240948324</v>
      </c>
      <c r="I31" s="11"/>
      <c r="J31" s="11"/>
    </row>
    <row r="32" ht="20.05" customHeight="1">
      <c r="B32" s="30">
        <v>2022</v>
      </c>
      <c r="C32" s="12"/>
      <c r="D32" s="13">
        <f>'Model'!D6</f>
        <v>207.584</v>
      </c>
      <c r="E32" s="31"/>
      <c r="F32" s="20"/>
      <c r="G32" s="11"/>
      <c r="H32" s="11"/>
      <c r="I32" s="11"/>
      <c r="J32" s="11"/>
    </row>
    <row r="33" ht="20.05" customHeight="1">
      <c r="B33" s="29"/>
      <c r="C33" s="12"/>
      <c r="D33" s="13">
        <f>'Model'!E6</f>
        <v>259.48</v>
      </c>
      <c r="E33" s="31"/>
      <c r="F33" s="20"/>
      <c r="G33" s="11"/>
      <c r="H33" s="11"/>
      <c r="I33" s="11"/>
      <c r="J33" s="11"/>
    </row>
    <row r="34" ht="20.05" customHeight="1">
      <c r="B34" s="29"/>
      <c r="C34" s="12"/>
      <c r="D34" s="13">
        <f>'Model'!F6</f>
        <v>272.454</v>
      </c>
      <c r="E34" s="31"/>
      <c r="F34" s="20"/>
      <c r="G34" s="11"/>
      <c r="H34" s="11"/>
      <c r="I34" s="11"/>
      <c r="J34" s="11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8438" style="32" customWidth="1"/>
    <col min="2" max="2" width="7.77344" style="32" customWidth="1"/>
    <col min="3" max="3" width="10.4922" style="32" customWidth="1"/>
    <col min="4" max="4" width="9.34375" style="32" customWidth="1"/>
    <col min="5" max="5" width="10.1875" style="32" customWidth="1"/>
    <col min="6" max="6" width="9.99219" style="32" customWidth="1"/>
    <col min="7" max="10" width="9.34375" style="32" customWidth="1"/>
    <col min="11" max="16384" width="16.3516" style="32" customWidth="1"/>
  </cols>
  <sheetData>
    <row r="1" ht="65.85" customHeight="1"/>
    <row r="2" ht="27.65" customHeight="1">
      <c r="B2" t="s" s="2">
        <v>45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23">
        <v>1</v>
      </c>
      <c r="C3" t="s" s="23">
        <v>46</v>
      </c>
      <c r="D3" t="s" s="23">
        <v>47</v>
      </c>
      <c r="E3" t="s" s="23">
        <v>48</v>
      </c>
      <c r="F3" t="s" s="23">
        <v>49</v>
      </c>
      <c r="G3" t="s" s="23">
        <v>10</v>
      </c>
      <c r="H3" t="s" s="23">
        <v>50</v>
      </c>
      <c r="I3" t="s" s="23">
        <v>45</v>
      </c>
      <c r="J3" t="s" s="23">
        <v>51</v>
      </c>
    </row>
    <row r="4" ht="20.25" customHeight="1">
      <c r="B4" s="24">
        <v>2015</v>
      </c>
      <c r="C4" s="33">
        <v>173.9</v>
      </c>
      <c r="D4" s="27">
        <v>-0.3</v>
      </c>
      <c r="E4" s="27">
        <v>73.34999999999999</v>
      </c>
      <c r="F4" s="27">
        <v>-5.64</v>
      </c>
      <c r="G4" s="27">
        <v>-86</v>
      </c>
      <c r="H4" s="27">
        <f>E4+F4</f>
        <v>67.70999999999999</v>
      </c>
      <c r="I4" s="34"/>
      <c r="J4" s="27">
        <f>-(G4-D4)</f>
        <v>85.7</v>
      </c>
    </row>
    <row r="5" ht="20.05" customHeight="1">
      <c r="B5" s="29"/>
      <c r="C5" s="16">
        <v>175.9</v>
      </c>
      <c r="D5" s="17">
        <v>-0.2</v>
      </c>
      <c r="E5" s="17">
        <v>-97.34999999999999</v>
      </c>
      <c r="F5" s="17">
        <v>-31.96</v>
      </c>
      <c r="G5" s="17">
        <v>132.57</v>
      </c>
      <c r="H5" s="17">
        <f>E5+F5</f>
        <v>-129.31</v>
      </c>
      <c r="I5" s="20"/>
      <c r="J5" s="17">
        <f>-(G5-D5)+J4</f>
        <v>-47.07</v>
      </c>
    </row>
    <row r="6" ht="20.05" customHeight="1">
      <c r="B6" s="29"/>
      <c r="C6" s="16">
        <v>141.9</v>
      </c>
      <c r="D6" s="17">
        <v>-0.3</v>
      </c>
      <c r="E6" s="17">
        <v>-93.8</v>
      </c>
      <c r="F6" s="17">
        <v>-2.7</v>
      </c>
      <c r="G6" s="17">
        <v>90.33</v>
      </c>
      <c r="H6" s="17">
        <f>E6+F6</f>
        <v>-96.5</v>
      </c>
      <c r="I6" s="20"/>
      <c r="J6" s="17">
        <f>-(G6-D6)+J5</f>
        <v>-137.7</v>
      </c>
    </row>
    <row r="7" ht="20.05" customHeight="1">
      <c r="B7" s="29"/>
      <c r="C7" s="16">
        <v>50</v>
      </c>
      <c r="D7" s="17">
        <v>-0.2</v>
      </c>
      <c r="E7" s="17">
        <v>11.1</v>
      </c>
      <c r="F7" s="17">
        <v>-0.3</v>
      </c>
      <c r="G7" s="17">
        <v>335.1</v>
      </c>
      <c r="H7" s="17">
        <f>E7+F7</f>
        <v>10.8</v>
      </c>
      <c r="I7" s="20"/>
      <c r="J7" s="17">
        <f>-(G7-D7)+J6</f>
        <v>-473</v>
      </c>
    </row>
    <row r="8" ht="20.05" customHeight="1">
      <c r="B8" s="30">
        <v>2016</v>
      </c>
      <c r="C8" s="16">
        <v>221.9</v>
      </c>
      <c r="D8" s="17">
        <v>-0.2</v>
      </c>
      <c r="E8" s="17">
        <v>-19.6</v>
      </c>
      <c r="F8" s="17">
        <v>-0.6</v>
      </c>
      <c r="G8" s="17">
        <v>-38.9</v>
      </c>
      <c r="H8" s="17">
        <f>E8+F8</f>
        <v>-20.2</v>
      </c>
      <c r="I8" s="17">
        <f>AVERAGE(H5:H8)</f>
        <v>-58.8025</v>
      </c>
      <c r="J8" s="17">
        <f>-(G8-D8)+J7</f>
        <v>-434.3</v>
      </c>
    </row>
    <row r="9" ht="20.05" customHeight="1">
      <c r="B9" s="29"/>
      <c r="C9" s="16">
        <v>48.6</v>
      </c>
      <c r="D9" s="17">
        <v>-0.2</v>
      </c>
      <c r="E9" s="17">
        <v>10.7</v>
      </c>
      <c r="F9" s="17">
        <v>-0.34</v>
      </c>
      <c r="G9" s="17">
        <v>-32.6</v>
      </c>
      <c r="H9" s="17">
        <f>E9+F9</f>
        <v>10.36</v>
      </c>
      <c r="I9" s="17">
        <f>AVERAGE(H6:H9)</f>
        <v>-23.885</v>
      </c>
      <c r="J9" s="17">
        <f>-(G9-D9)+J8</f>
        <v>-401.9</v>
      </c>
    </row>
    <row r="10" ht="20.05" customHeight="1">
      <c r="B10" s="29"/>
      <c r="C10" s="16">
        <v>165.2</v>
      </c>
      <c r="D10" s="17">
        <v>-0.2</v>
      </c>
      <c r="E10" s="17">
        <v>-61.1</v>
      </c>
      <c r="F10" s="17">
        <v>-8.859999999999999</v>
      </c>
      <c r="G10" s="17">
        <v>16.2</v>
      </c>
      <c r="H10" s="17">
        <f>E10+F10</f>
        <v>-69.95999999999999</v>
      </c>
      <c r="I10" s="17">
        <f>AVERAGE(H7:H10)</f>
        <v>-17.25</v>
      </c>
      <c r="J10" s="17">
        <f>-(G10-D10)+J9</f>
        <v>-418.3</v>
      </c>
    </row>
    <row r="11" ht="20.05" customHeight="1">
      <c r="B11" s="29"/>
      <c r="C11" s="16">
        <v>354.78</v>
      </c>
      <c r="D11" s="17">
        <v>-0.1</v>
      </c>
      <c r="E11" s="17">
        <v>-390.37</v>
      </c>
      <c r="F11" s="17">
        <v>35.6</v>
      </c>
      <c r="G11" s="17">
        <v>228.3</v>
      </c>
      <c r="H11" s="17">
        <f>E11+F11</f>
        <v>-354.77</v>
      </c>
      <c r="I11" s="17">
        <f>AVERAGE(H8:H11)</f>
        <v>-108.6425</v>
      </c>
      <c r="J11" s="17">
        <f>-(G11-D11)+J10</f>
        <v>-646.7</v>
      </c>
    </row>
    <row r="12" ht="20.05" customHeight="1">
      <c r="B12" s="30">
        <v>2017</v>
      </c>
      <c r="C12" s="16">
        <v>116.5</v>
      </c>
      <c r="D12" s="17">
        <v>-0.2</v>
      </c>
      <c r="E12" s="17">
        <v>-84.3</v>
      </c>
      <c r="F12" s="17">
        <v>-0.9</v>
      </c>
      <c r="G12" s="17">
        <v>32.3</v>
      </c>
      <c r="H12" s="17">
        <f>E12+F12</f>
        <v>-85.2</v>
      </c>
      <c r="I12" s="17">
        <f>AVERAGE(H9:H12)</f>
        <v>-124.8925</v>
      </c>
      <c r="J12" s="17">
        <f>-(G12-D12)+J11</f>
        <v>-679.2</v>
      </c>
    </row>
    <row r="13" ht="20.05" customHeight="1">
      <c r="B13" s="29"/>
      <c r="C13" s="16">
        <v>190.1</v>
      </c>
      <c r="D13" s="17">
        <v>0.2</v>
      </c>
      <c r="E13" s="17">
        <v>-337.9</v>
      </c>
      <c r="F13" s="17">
        <v>-1.7</v>
      </c>
      <c r="G13" s="17">
        <v>600.1</v>
      </c>
      <c r="H13" s="17">
        <f>E13+F13</f>
        <v>-339.6</v>
      </c>
      <c r="I13" s="17">
        <f>AVERAGE(H10:H13)</f>
        <v>-212.3825</v>
      </c>
      <c r="J13" s="17">
        <f>-(G13-D13)+J12</f>
        <v>-1279.1</v>
      </c>
    </row>
    <row r="14" ht="20.05" customHeight="1">
      <c r="B14" s="29"/>
      <c r="C14" s="16">
        <v>102.3</v>
      </c>
      <c r="D14" s="17">
        <v>-0.5</v>
      </c>
      <c r="E14" s="17">
        <v>51.7</v>
      </c>
      <c r="F14" s="17">
        <v>-2267.4</v>
      </c>
      <c r="G14" s="17">
        <v>2001.1</v>
      </c>
      <c r="H14" s="17">
        <f>E14+F14</f>
        <v>-2215.7</v>
      </c>
      <c r="I14" s="17">
        <f>AVERAGE(H11:H14)</f>
        <v>-748.8175</v>
      </c>
      <c r="J14" s="17">
        <f>-(G14-D14)+J13</f>
        <v>-3280.7</v>
      </c>
    </row>
    <row r="15" ht="20.05" customHeight="1">
      <c r="B15" s="29"/>
      <c r="C15" s="16">
        <v>952.9</v>
      </c>
      <c r="D15" s="17">
        <v>0.1</v>
      </c>
      <c r="E15" s="17">
        <v>428.3</v>
      </c>
      <c r="F15" s="17">
        <v>1650.7</v>
      </c>
      <c r="G15" s="17">
        <v>-1791.1</v>
      </c>
      <c r="H15" s="17">
        <f>E15+F15</f>
        <v>2079</v>
      </c>
      <c r="I15" s="17">
        <f>AVERAGE(H12:H15)</f>
        <v>-140.375</v>
      </c>
      <c r="J15" s="17">
        <f>-(G15-D15)+J14</f>
        <v>-1489.5</v>
      </c>
    </row>
    <row r="16" ht="20.05" customHeight="1">
      <c r="B16" s="30">
        <v>2018</v>
      </c>
      <c r="C16" s="16">
        <v>240.32</v>
      </c>
      <c r="D16" s="17">
        <v>-0.1</v>
      </c>
      <c r="E16" s="17">
        <v>-409.3</v>
      </c>
      <c r="F16" s="17">
        <v>-2</v>
      </c>
      <c r="G16" s="17">
        <v>61.4</v>
      </c>
      <c r="H16" s="17">
        <f>E16+F16</f>
        <v>-411.3</v>
      </c>
      <c r="I16" s="17">
        <f>AVERAGE(H13:H16)</f>
        <v>-221.9</v>
      </c>
      <c r="J16" s="17">
        <f>-(G16-D16)+J15</f>
        <v>-1551</v>
      </c>
    </row>
    <row r="17" ht="20.05" customHeight="1">
      <c r="B17" s="29"/>
      <c r="C17" s="16">
        <v>168.58</v>
      </c>
      <c r="D17" s="17">
        <v>0</v>
      </c>
      <c r="E17" s="17">
        <v>-214.1</v>
      </c>
      <c r="F17" s="17">
        <v>-5.45</v>
      </c>
      <c r="G17" s="17">
        <v>343.6</v>
      </c>
      <c r="H17" s="17">
        <f>E17+F17</f>
        <v>-219.55</v>
      </c>
      <c r="I17" s="17">
        <f>AVERAGE(H14:H17)</f>
        <v>-191.8875</v>
      </c>
      <c r="J17" s="17">
        <f>-(G17-D17)+J16</f>
        <v>-1894.6</v>
      </c>
    </row>
    <row r="18" ht="20.05" customHeight="1">
      <c r="B18" s="29"/>
      <c r="C18" s="16">
        <v>465.88</v>
      </c>
      <c r="D18" s="17">
        <v>5.1</v>
      </c>
      <c r="E18" s="17">
        <v>-320.18</v>
      </c>
      <c r="F18" s="17">
        <v>-9.19</v>
      </c>
      <c r="G18" s="17">
        <v>275</v>
      </c>
      <c r="H18" s="17">
        <f>E18+F18</f>
        <v>-329.37</v>
      </c>
      <c r="I18" s="17">
        <f>AVERAGE(H15:H18)</f>
        <v>279.695</v>
      </c>
      <c r="J18" s="17">
        <f>-(G18-D18)+J17</f>
        <v>-2164.5</v>
      </c>
    </row>
    <row r="19" ht="20.05" customHeight="1">
      <c r="B19" s="29"/>
      <c r="C19" s="16">
        <v>29.57</v>
      </c>
      <c r="D19" s="17">
        <v>-7</v>
      </c>
      <c r="E19" s="17">
        <v>127.98</v>
      </c>
      <c r="F19" s="17">
        <v>-252.36</v>
      </c>
      <c r="G19" s="17">
        <v>67.90000000000001</v>
      </c>
      <c r="H19" s="17">
        <f>E19+F19</f>
        <v>-124.38</v>
      </c>
      <c r="I19" s="17">
        <f>AVERAGE(H16:H19)</f>
        <v>-271.15</v>
      </c>
      <c r="J19" s="17">
        <f>-(G19-D19)+J18</f>
        <v>-2239.4</v>
      </c>
    </row>
    <row r="20" ht="20.05" customHeight="1">
      <c r="B20" s="30">
        <v>2019</v>
      </c>
      <c r="C20" s="16">
        <v>122.4</v>
      </c>
      <c r="D20" s="17">
        <v>-2</v>
      </c>
      <c r="E20" s="17">
        <v>-72.3</v>
      </c>
      <c r="F20" s="17">
        <v>-63.6</v>
      </c>
      <c r="G20" s="17">
        <v>67.3</v>
      </c>
      <c r="H20" s="17">
        <f>E20+F20</f>
        <v>-135.9</v>
      </c>
      <c r="I20" s="17">
        <f>AVERAGE(H17:H20)</f>
        <v>-202.3</v>
      </c>
      <c r="J20" s="17">
        <f>-(G20-D20)+J19</f>
        <v>-2308.7</v>
      </c>
    </row>
    <row r="21" ht="20.05" customHeight="1">
      <c r="B21" s="29"/>
      <c r="C21" s="16">
        <v>171.74</v>
      </c>
      <c r="D21" s="17">
        <v>0</v>
      </c>
      <c r="E21" s="17">
        <v>95.06</v>
      </c>
      <c r="F21" s="17">
        <v>8.470000000000001</v>
      </c>
      <c r="G21" s="17">
        <v>-7.4</v>
      </c>
      <c r="H21" s="17">
        <f>E21+F21</f>
        <v>103.53</v>
      </c>
      <c r="I21" s="17">
        <f>AVERAGE(H18:H21)</f>
        <v>-121.53</v>
      </c>
      <c r="J21" s="17">
        <f>-(G21-D21)+J20</f>
        <v>-2301.3</v>
      </c>
    </row>
    <row r="22" ht="20.05" customHeight="1">
      <c r="B22" s="29"/>
      <c r="C22" s="16">
        <v>79.66</v>
      </c>
      <c r="D22" s="17">
        <v>-1</v>
      </c>
      <c r="E22" s="17">
        <v>-387.26</v>
      </c>
      <c r="F22" s="17">
        <v>-2</v>
      </c>
      <c r="G22" s="17">
        <v>322.7</v>
      </c>
      <c r="H22" s="17">
        <f>E22+F22</f>
        <v>-389.26</v>
      </c>
      <c r="I22" s="17">
        <f>AVERAGE(H19:H22)</f>
        <v>-136.5025</v>
      </c>
      <c r="J22" s="17">
        <f>-(G22-D22)+J21</f>
        <v>-2625</v>
      </c>
    </row>
    <row r="23" ht="20.05" customHeight="1">
      <c r="B23" s="29"/>
      <c r="C23" s="16">
        <v>273.2</v>
      </c>
      <c r="D23" s="17">
        <v>-4</v>
      </c>
      <c r="E23" s="17">
        <v>-137.5</v>
      </c>
      <c r="F23" s="17">
        <v>-268.87</v>
      </c>
      <c r="G23" s="17">
        <v>563.4</v>
      </c>
      <c r="H23" s="17">
        <f>E23+F23</f>
        <v>-406.37</v>
      </c>
      <c r="I23" s="17">
        <f>AVERAGE(H20:H23)</f>
        <v>-207</v>
      </c>
      <c r="J23" s="17">
        <f>-(G23-D23)+J22</f>
        <v>-3192.4</v>
      </c>
    </row>
    <row r="24" ht="20.05" customHeight="1">
      <c r="B24" s="30">
        <v>2020</v>
      </c>
      <c r="C24" s="16">
        <v>111</v>
      </c>
      <c r="D24" s="17">
        <v>-4</v>
      </c>
      <c r="E24" s="17">
        <v>-1373</v>
      </c>
      <c r="F24" s="17">
        <v>-46</v>
      </c>
      <c r="G24" s="17">
        <v>1298</v>
      </c>
      <c r="H24" s="17">
        <f>E24+F24</f>
        <v>-1419</v>
      </c>
      <c r="I24" s="17">
        <f>AVERAGE(H21:H24)</f>
        <v>-527.775</v>
      </c>
      <c r="J24" s="17">
        <f>-(G24-D24)+J23</f>
        <v>-4494.4</v>
      </c>
    </row>
    <row r="25" ht="20.05" customHeight="1">
      <c r="B25" s="29"/>
      <c r="C25" s="16">
        <v>64.7</v>
      </c>
      <c r="D25" s="17">
        <v>-4</v>
      </c>
      <c r="E25" s="17">
        <v>-21.4</v>
      </c>
      <c r="F25" s="17">
        <v>-12.8</v>
      </c>
      <c r="G25" s="17">
        <v>3.7</v>
      </c>
      <c r="H25" s="17">
        <f>E25+F25</f>
        <v>-34.2</v>
      </c>
      <c r="I25" s="17">
        <f>AVERAGE(H22:H25)</f>
        <v>-562.2075</v>
      </c>
      <c r="J25" s="17">
        <f>-(G25-D25)+J24</f>
        <v>-4502.1</v>
      </c>
    </row>
    <row r="26" ht="20.05" customHeight="1">
      <c r="B26" s="29"/>
      <c r="C26" s="16">
        <f>199-SUM(C24:C25)</f>
        <v>23.3</v>
      </c>
      <c r="D26" s="17">
        <v>-1</v>
      </c>
      <c r="E26" s="17">
        <f>-1391-SUM(E24:E25)</f>
        <v>3.4</v>
      </c>
      <c r="F26" s="17">
        <f>-135-SUM(F24:F25)</f>
        <v>-76.2</v>
      </c>
      <c r="G26" s="17">
        <f>1360-SUM(G24:G25)</f>
        <v>58.3</v>
      </c>
      <c r="H26" s="17">
        <f>E26+F26</f>
        <v>-72.8</v>
      </c>
      <c r="I26" s="17">
        <f>AVERAGE(H23:H26)</f>
        <v>-483.0925</v>
      </c>
      <c r="J26" s="17">
        <f>-(G26-D26)+J25</f>
        <v>-4561.4</v>
      </c>
    </row>
    <row r="27" ht="20.05" customHeight="1">
      <c r="B27" s="29"/>
      <c r="C27" s="16">
        <f>378.8-SUM(C24:C26)</f>
        <v>179.8</v>
      </c>
      <c r="D27" s="17">
        <f>-8.6-SUM(D24:D26)</f>
        <v>0.4</v>
      </c>
      <c r="E27" s="17">
        <f>-1522.4-SUM(E24:E26)</f>
        <v>-131.4</v>
      </c>
      <c r="F27" s="17">
        <f>-56.2-SUM(F24:F26)</f>
        <v>78.8</v>
      </c>
      <c r="G27" s="17">
        <f>1357.5-SUM(G24:G26)</f>
        <v>-2.5</v>
      </c>
      <c r="H27" s="17">
        <f>E27+F27</f>
        <v>-52.6</v>
      </c>
      <c r="I27" s="17">
        <f>AVERAGE(H24:H27)</f>
        <v>-394.65</v>
      </c>
      <c r="J27" s="17">
        <f>-(G27-D27)+J26</f>
        <v>-4558.5</v>
      </c>
    </row>
    <row r="28" ht="20.05" customHeight="1">
      <c r="B28" s="30">
        <v>2021</v>
      </c>
      <c r="C28" s="16">
        <v>525.4</v>
      </c>
      <c r="D28" s="17">
        <v>-14.7</v>
      </c>
      <c r="E28" s="17">
        <v>272.8</v>
      </c>
      <c r="F28" s="17">
        <v>-1.3</v>
      </c>
      <c r="G28" s="17">
        <v>-252.4</v>
      </c>
      <c r="H28" s="17">
        <f>E28+F28</f>
        <v>271.5</v>
      </c>
      <c r="I28" s="17">
        <f>AVERAGE(H25:H28)</f>
        <v>27.975</v>
      </c>
      <c r="J28" s="17">
        <f>-(G28-D28)+J27</f>
        <v>-4320.8</v>
      </c>
    </row>
    <row r="29" ht="20.05" customHeight="1">
      <c r="B29" s="29"/>
      <c r="C29" s="16">
        <f>2535.3-C28</f>
        <v>2009.9</v>
      </c>
      <c r="D29" s="17">
        <f>-16.7-D28</f>
        <v>-2</v>
      </c>
      <c r="E29" s="17">
        <f>1586.4-E28</f>
        <v>1313.6</v>
      </c>
      <c r="F29" s="17">
        <f>-1.3-F28</f>
        <v>0</v>
      </c>
      <c r="G29" s="17">
        <f>-1324.8-G28</f>
        <v>-1072.4</v>
      </c>
      <c r="H29" s="17">
        <f>E29+F29</f>
        <v>1313.6</v>
      </c>
      <c r="I29" s="17">
        <f>AVERAGE(H26:H29)</f>
        <v>364.925</v>
      </c>
      <c r="J29" s="17">
        <f>-(G29-D29)+J28</f>
        <v>-3250.4</v>
      </c>
    </row>
    <row r="30" ht="20.05" customHeight="1">
      <c r="B30" s="29"/>
      <c r="C30" s="16">
        <f>2735.5-SUM(C28:C29)</f>
        <v>200.2</v>
      </c>
      <c r="D30" s="17">
        <f>-26.6-SUM(D28:D29)</f>
        <v>-9.9</v>
      </c>
      <c r="E30" s="17">
        <f>1385.9-SUM(E28:E29)</f>
        <v>-200.5</v>
      </c>
      <c r="F30" s="17">
        <f>-5.1-SUM(F28:F29)</f>
        <v>-3.8</v>
      </c>
      <c r="G30" s="17">
        <f>-1148.5-SUM(G28:G29)</f>
        <v>176.3</v>
      </c>
      <c r="H30" s="17">
        <f>E30+F30</f>
        <v>-204.3</v>
      </c>
      <c r="I30" s="17">
        <f>AVERAGE(H27:H30)</f>
        <v>332.05</v>
      </c>
      <c r="J30" s="17">
        <f>-(G30-D30)+J29</f>
        <v>-3436.6</v>
      </c>
    </row>
    <row r="31" ht="20.05" customHeight="1">
      <c r="B31" s="29"/>
      <c r="C31" s="16"/>
      <c r="D31" s="17"/>
      <c r="E31" s="31"/>
      <c r="F31" s="17"/>
      <c r="G31" s="17"/>
      <c r="H31" s="17"/>
      <c r="I31" s="17">
        <f>SUM('Model'!F9:F10)</f>
        <v>40.043861002665</v>
      </c>
      <c r="J31" s="17">
        <f>'Model'!F32</f>
        <v>-3280.971661084890</v>
      </c>
    </row>
  </sheetData>
  <mergeCells count="1">
    <mergeCell ref="B2:J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5" customWidth="1"/>
    <col min="2" max="2" width="7.55469" style="35" customWidth="1"/>
    <col min="3" max="11" width="9.28906" style="35" customWidth="1"/>
    <col min="12" max="16384" width="16.3516" style="35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3">
        <v>1</v>
      </c>
      <c r="C3" t="s" s="23">
        <v>52</v>
      </c>
      <c r="D3" t="s" s="23">
        <v>53</v>
      </c>
      <c r="E3" t="s" s="23">
        <v>22</v>
      </c>
      <c r="F3" t="s" s="23">
        <v>23</v>
      </c>
      <c r="G3" t="s" s="23">
        <v>11</v>
      </c>
      <c r="H3" t="s" s="23">
        <v>25</v>
      </c>
      <c r="I3" t="s" s="23">
        <v>54</v>
      </c>
      <c r="J3" t="s" s="23">
        <v>55</v>
      </c>
      <c r="K3" t="s" s="23">
        <v>34</v>
      </c>
    </row>
    <row r="4" ht="20.25" customHeight="1">
      <c r="B4" s="24">
        <v>2015</v>
      </c>
      <c r="C4" s="33">
        <v>278</v>
      </c>
      <c r="D4" s="27">
        <v>9809</v>
      </c>
      <c r="E4" s="27">
        <f>D4-C4</f>
        <v>9531</v>
      </c>
      <c r="F4" s="27">
        <v>95</v>
      </c>
      <c r="G4" s="27">
        <v>3610</v>
      </c>
      <c r="H4" s="27">
        <v>6199</v>
      </c>
      <c r="I4" s="27">
        <f>G4+H4-C4-E4</f>
        <v>0</v>
      </c>
      <c r="J4" s="27">
        <f>C4-G4</f>
        <v>-3332</v>
      </c>
      <c r="K4" s="27"/>
    </row>
    <row r="5" ht="20.05" customHeight="1">
      <c r="B5" s="29"/>
      <c r="C5" s="16">
        <v>281</v>
      </c>
      <c r="D5" s="17">
        <v>10037</v>
      </c>
      <c r="E5" s="17">
        <f>D5-C5</f>
        <v>9756</v>
      </c>
      <c r="F5" s="17">
        <v>98</v>
      </c>
      <c r="G5" s="17">
        <v>3848</v>
      </c>
      <c r="H5" s="17">
        <v>6189</v>
      </c>
      <c r="I5" s="17">
        <f>G5+H5-C5-E5</f>
        <v>0</v>
      </c>
      <c r="J5" s="17">
        <f>C5-G5</f>
        <v>-3567</v>
      </c>
      <c r="K5" s="17"/>
    </row>
    <row r="6" ht="20.05" customHeight="1">
      <c r="B6" s="29"/>
      <c r="C6" s="16">
        <v>275</v>
      </c>
      <c r="D6" s="17">
        <v>10117</v>
      </c>
      <c r="E6" s="17">
        <f>D6-C6</f>
        <v>9842</v>
      </c>
      <c r="F6" s="17">
        <v>101</v>
      </c>
      <c r="G6" s="17">
        <v>3983</v>
      </c>
      <c r="H6" s="17">
        <v>6134</v>
      </c>
      <c r="I6" s="17">
        <f>G6+H6-C6-E6</f>
        <v>0</v>
      </c>
      <c r="J6" s="17">
        <f>C6-G6</f>
        <v>-3708</v>
      </c>
      <c r="K6" s="17"/>
    </row>
    <row r="7" ht="20.05" customHeight="1">
      <c r="B7" s="29"/>
      <c r="C7" s="16">
        <v>568</v>
      </c>
      <c r="D7" s="17">
        <v>11146</v>
      </c>
      <c r="E7" s="17">
        <f>D7-C7</f>
        <v>10578</v>
      </c>
      <c r="F7" s="17">
        <v>105</v>
      </c>
      <c r="G7" s="17">
        <v>4596</v>
      </c>
      <c r="H7" s="17">
        <v>6550</v>
      </c>
      <c r="I7" s="17">
        <f>G7+H7-C7-E7</f>
        <v>0</v>
      </c>
      <c r="J7" s="17">
        <f>C7-G7</f>
        <v>-4028</v>
      </c>
      <c r="K7" s="17"/>
    </row>
    <row r="8" ht="20.05" customHeight="1">
      <c r="B8" s="30">
        <v>2016</v>
      </c>
      <c r="C8" s="16">
        <v>509</v>
      </c>
      <c r="D8" s="17">
        <v>10785</v>
      </c>
      <c r="E8" s="17">
        <f>D8-C8</f>
        <v>10276</v>
      </c>
      <c r="F8" s="17">
        <v>107</v>
      </c>
      <c r="G8" s="17">
        <v>4173</v>
      </c>
      <c r="H8" s="17">
        <v>6612</v>
      </c>
      <c r="I8" s="17">
        <f>G8+H8-C8-E8</f>
        <v>0</v>
      </c>
      <c r="J8" s="17">
        <f>C8-G8</f>
        <v>-3664</v>
      </c>
      <c r="K8" s="17"/>
    </row>
    <row r="9" ht="20.05" customHeight="1">
      <c r="B9" s="29"/>
      <c r="C9" s="16">
        <v>487</v>
      </c>
      <c r="D9" s="17">
        <v>10954</v>
      </c>
      <c r="E9" s="17">
        <f>D9-C9</f>
        <v>10467</v>
      </c>
      <c r="F9" s="17">
        <v>111</v>
      </c>
      <c r="G9" s="17">
        <v>4308</v>
      </c>
      <c r="H9" s="17">
        <v>6646</v>
      </c>
      <c r="I9" s="17">
        <f>G9+H9-C9-E9</f>
        <v>0</v>
      </c>
      <c r="J9" s="17">
        <f>C9-G9</f>
        <v>-3821</v>
      </c>
      <c r="K9" s="17"/>
    </row>
    <row r="10" ht="20.05" customHeight="1">
      <c r="B10" s="29"/>
      <c r="C10" s="16">
        <v>433</v>
      </c>
      <c r="D10" s="17">
        <v>11096</v>
      </c>
      <c r="E10" s="17">
        <f>D10-C10</f>
        <v>10663</v>
      </c>
      <c r="F10" s="17">
        <v>114</v>
      </c>
      <c r="G10" s="17">
        <v>4391</v>
      </c>
      <c r="H10" s="17">
        <v>6705</v>
      </c>
      <c r="I10" s="17">
        <f>G10+H10-C10-E10</f>
        <v>0</v>
      </c>
      <c r="J10" s="17">
        <f>C10-G10</f>
        <v>-3958</v>
      </c>
      <c r="K10" s="17"/>
    </row>
    <row r="11" ht="20.05" customHeight="1">
      <c r="B11" s="29"/>
      <c r="C11" s="16">
        <v>307</v>
      </c>
      <c r="D11" s="17">
        <v>11359</v>
      </c>
      <c r="E11" s="17">
        <f>D11-C11</f>
        <v>11052</v>
      </c>
      <c r="F11" s="17">
        <v>117</v>
      </c>
      <c r="G11" s="17">
        <v>4199</v>
      </c>
      <c r="H11" s="17">
        <v>7160</v>
      </c>
      <c r="I11" s="17">
        <f>G11+H11-C11-E11</f>
        <v>0</v>
      </c>
      <c r="J11" s="17">
        <f>C11-G11</f>
        <v>-3892</v>
      </c>
      <c r="K11" s="17"/>
    </row>
    <row r="12" ht="20.05" customHeight="1">
      <c r="B12" s="30">
        <v>2017</v>
      </c>
      <c r="C12" s="16">
        <v>254</v>
      </c>
      <c r="D12" s="17">
        <v>11339</v>
      </c>
      <c r="E12" s="17">
        <f>D12-C12</f>
        <v>11085</v>
      </c>
      <c r="F12" s="17">
        <v>120</v>
      </c>
      <c r="G12" s="17">
        <v>4179</v>
      </c>
      <c r="H12" s="17">
        <v>7160</v>
      </c>
      <c r="I12" s="17">
        <f>G12+H12-C12-E12</f>
        <v>0</v>
      </c>
      <c r="J12" s="17">
        <f>C12-G12</f>
        <v>-3925</v>
      </c>
      <c r="K12" s="17"/>
    </row>
    <row r="13" ht="20.05" customHeight="1">
      <c r="B13" s="29"/>
      <c r="C13" s="16">
        <v>514</v>
      </c>
      <c r="D13" s="17">
        <v>14387</v>
      </c>
      <c r="E13" s="17">
        <f>D13-C13</f>
        <v>13873</v>
      </c>
      <c r="F13" s="17">
        <v>123</v>
      </c>
      <c r="G13" s="17">
        <v>4818</v>
      </c>
      <c r="H13" s="17">
        <v>9569</v>
      </c>
      <c r="I13" s="17">
        <f>G13+H13-C13-E13</f>
        <v>0</v>
      </c>
      <c r="J13" s="17">
        <f>C13-G13</f>
        <v>-4304</v>
      </c>
      <c r="K13" s="17"/>
    </row>
    <row r="14" ht="20.05" customHeight="1">
      <c r="B14" s="29"/>
      <c r="C14" s="16">
        <v>299</v>
      </c>
      <c r="D14" s="17">
        <v>14358</v>
      </c>
      <c r="E14" s="17">
        <f>D14-C14</f>
        <v>14059</v>
      </c>
      <c r="F14" s="17">
        <v>125</v>
      </c>
      <c r="G14" s="17">
        <v>4805</v>
      </c>
      <c r="H14" s="17">
        <v>9553</v>
      </c>
      <c r="I14" s="17">
        <f>G14+H14-C14-E14</f>
        <v>0</v>
      </c>
      <c r="J14" s="17">
        <f>C14-G14</f>
        <v>-4506</v>
      </c>
      <c r="K14" s="17"/>
    </row>
    <row r="15" ht="20.05" customHeight="1">
      <c r="B15" s="29"/>
      <c r="C15" s="16">
        <v>588</v>
      </c>
      <c r="D15" s="17">
        <v>14977</v>
      </c>
      <c r="E15" s="17">
        <f>D15-C15</f>
        <v>14389</v>
      </c>
      <c r="F15" s="17">
        <f>130</f>
        <v>130</v>
      </c>
      <c r="G15" s="17">
        <v>5034</v>
      </c>
      <c r="H15" s="17">
        <v>9943</v>
      </c>
      <c r="I15" s="17">
        <f>G15+H15-C15-E15</f>
        <v>0</v>
      </c>
      <c r="J15" s="17">
        <f>C15-G15</f>
        <v>-4446</v>
      </c>
      <c r="K15" s="17"/>
    </row>
    <row r="16" ht="20.05" customHeight="1">
      <c r="B16" s="30">
        <v>2018</v>
      </c>
      <c r="C16" s="16">
        <v>238</v>
      </c>
      <c r="D16" s="17">
        <v>15232</v>
      </c>
      <c r="E16" s="17">
        <f>D16-C16</f>
        <v>14994</v>
      </c>
      <c r="F16" s="17">
        <v>133</v>
      </c>
      <c r="G16" s="17">
        <v>5163</v>
      </c>
      <c r="H16" s="17">
        <v>10069</v>
      </c>
      <c r="I16" s="17">
        <f>G16+H16-C16-E16</f>
        <v>0</v>
      </c>
      <c r="J16" s="17">
        <f>C16-G16</f>
        <v>-4925</v>
      </c>
      <c r="K16" s="17"/>
    </row>
    <row r="17" ht="20.05" customHeight="1">
      <c r="B17" s="29"/>
      <c r="C17" s="16">
        <v>362</v>
      </c>
      <c r="D17" s="17">
        <v>15565</v>
      </c>
      <c r="E17" s="17">
        <f>D17-C17</f>
        <v>15203</v>
      </c>
      <c r="F17" s="17">
        <v>137</v>
      </c>
      <c r="G17" s="17">
        <v>5570</v>
      </c>
      <c r="H17" s="17">
        <v>9995</v>
      </c>
      <c r="I17" s="17">
        <f>G17+H17-C17-E17</f>
        <v>0</v>
      </c>
      <c r="J17" s="17">
        <f>C17-G17</f>
        <v>-5208</v>
      </c>
      <c r="K17" s="17"/>
    </row>
    <row r="18" ht="20.05" customHeight="1">
      <c r="B18" s="29"/>
      <c r="C18" s="16">
        <v>307</v>
      </c>
      <c r="D18" s="17">
        <v>15882</v>
      </c>
      <c r="E18" s="17">
        <f>D18-C18</f>
        <v>15575</v>
      </c>
      <c r="F18" s="17">
        <f>140</f>
        <v>140</v>
      </c>
      <c r="G18" s="17">
        <v>5593</v>
      </c>
      <c r="H18" s="17">
        <v>10289</v>
      </c>
      <c r="I18" s="17">
        <f>G18+H18-C18-E18</f>
        <v>0</v>
      </c>
      <c r="J18" s="17">
        <f>C18-G18</f>
        <v>-5286</v>
      </c>
      <c r="K18" s="17"/>
    </row>
    <row r="19" ht="20.05" customHeight="1">
      <c r="B19" s="29"/>
      <c r="C19" s="16">
        <v>251</v>
      </c>
      <c r="D19" s="17">
        <v>16252</v>
      </c>
      <c r="E19" s="17">
        <f>D19-C19</f>
        <v>16001</v>
      </c>
      <c r="F19" s="17">
        <f>144</f>
        <v>144</v>
      </c>
      <c r="G19" s="17">
        <v>5631</v>
      </c>
      <c r="H19" s="17">
        <v>10621</v>
      </c>
      <c r="I19" s="17">
        <f>G19+H19-C19-E19</f>
        <v>0</v>
      </c>
      <c r="J19" s="17">
        <f>C19-G19</f>
        <v>-5380</v>
      </c>
      <c r="K19" s="17"/>
    </row>
    <row r="20" ht="20.05" customHeight="1">
      <c r="B20" s="30">
        <v>2019</v>
      </c>
      <c r="C20" s="16">
        <v>182</v>
      </c>
      <c r="D20" s="17">
        <v>16380</v>
      </c>
      <c r="E20" s="17">
        <f>D20-C20</f>
        <v>16198</v>
      </c>
      <c r="F20" s="17">
        <v>148</v>
      </c>
      <c r="G20" s="17">
        <v>5703</v>
      </c>
      <c r="H20" s="17">
        <v>10677</v>
      </c>
      <c r="I20" s="17">
        <f>G20+H20-C20-E20</f>
        <v>0</v>
      </c>
      <c r="J20" s="17">
        <f>C20-G20</f>
        <v>-5521</v>
      </c>
      <c r="K20" s="17"/>
    </row>
    <row r="21" ht="20.05" customHeight="1">
      <c r="B21" s="29"/>
      <c r="C21" s="16">
        <v>278</v>
      </c>
      <c r="D21" s="17">
        <v>16734</v>
      </c>
      <c r="E21" s="17">
        <f>D21-C21</f>
        <v>16456</v>
      </c>
      <c r="F21" s="17">
        <f>151</f>
        <v>151</v>
      </c>
      <c r="G21" s="17">
        <v>6071</v>
      </c>
      <c r="H21" s="17">
        <v>10663</v>
      </c>
      <c r="I21" s="17">
        <f>G21+H21-C21-E21</f>
        <v>0</v>
      </c>
      <c r="J21" s="17">
        <f>C21-G21</f>
        <v>-5793</v>
      </c>
      <c r="K21" s="17"/>
    </row>
    <row r="22" ht="20.05" customHeight="1">
      <c r="B22" s="29"/>
      <c r="C22" s="16">
        <v>212</v>
      </c>
      <c r="D22" s="17">
        <v>17005</v>
      </c>
      <c r="E22" s="17">
        <f>D22-C22</f>
        <v>16793</v>
      </c>
      <c r="F22" s="17">
        <f>155</f>
        <v>155</v>
      </c>
      <c r="G22" s="17">
        <v>6370</v>
      </c>
      <c r="H22" s="17">
        <v>10635</v>
      </c>
      <c r="I22" s="17">
        <f>G22+H22-C22-E22</f>
        <v>0</v>
      </c>
      <c r="J22" s="17">
        <f>C22-G22</f>
        <v>-6158</v>
      </c>
      <c r="K22" s="17"/>
    </row>
    <row r="23" ht="20.05" customHeight="1">
      <c r="B23" s="29"/>
      <c r="C23" s="16">
        <v>368</v>
      </c>
      <c r="D23" s="17">
        <v>17275</v>
      </c>
      <c r="E23" s="17">
        <f>D23-C23</f>
        <v>16907</v>
      </c>
      <c r="F23" s="17">
        <v>159</v>
      </c>
      <c r="G23" s="17">
        <v>6578</v>
      </c>
      <c r="H23" s="17">
        <v>10697</v>
      </c>
      <c r="I23" s="17">
        <f>G23+H23-C23-E23</f>
        <v>0</v>
      </c>
      <c r="J23" s="17">
        <f>C23-G23</f>
        <v>-6210</v>
      </c>
      <c r="K23" s="17"/>
    </row>
    <row r="24" ht="20.05" customHeight="1">
      <c r="B24" s="30">
        <v>2020</v>
      </c>
      <c r="C24" s="16">
        <v>247</v>
      </c>
      <c r="D24" s="17">
        <v>18612</v>
      </c>
      <c r="E24" s="17">
        <f>D24-C24</f>
        <v>18365</v>
      </c>
      <c r="F24" s="17">
        <f>158+4</f>
        <v>162</v>
      </c>
      <c r="G24" s="17">
        <v>8092</v>
      </c>
      <c r="H24" s="17">
        <v>10520</v>
      </c>
      <c r="I24" s="17">
        <f>G24+H24-C24-E24</f>
        <v>0</v>
      </c>
      <c r="J24" s="17">
        <f>C24-G24</f>
        <v>-7845</v>
      </c>
      <c r="K24" s="17"/>
    </row>
    <row r="25" ht="20.05" customHeight="1">
      <c r="B25" s="29"/>
      <c r="C25" s="16">
        <v>217</v>
      </c>
      <c r="D25" s="17">
        <v>18648</v>
      </c>
      <c r="E25" s="17">
        <f>D25-C25</f>
        <v>18431</v>
      </c>
      <c r="F25" s="17">
        <f>161+5</f>
        <v>166</v>
      </c>
      <c r="G25" s="17">
        <v>8175</v>
      </c>
      <c r="H25" s="17">
        <v>10473</v>
      </c>
      <c r="I25" s="17">
        <f>G25+H25-C25-E25</f>
        <v>0</v>
      </c>
      <c r="J25" s="17">
        <f>C25-G25</f>
        <v>-7958</v>
      </c>
      <c r="K25" s="36"/>
    </row>
    <row r="26" ht="20.05" customHeight="1">
      <c r="B26" s="29"/>
      <c r="C26" s="16">
        <v>201</v>
      </c>
      <c r="D26" s="17">
        <v>18719</v>
      </c>
      <c r="E26" s="17">
        <f>D26-C26</f>
        <v>18518</v>
      </c>
      <c r="F26" s="17">
        <f t="shared" si="74" ref="F26:F28">170+6</f>
        <v>176</v>
      </c>
      <c r="G26" s="17">
        <v>8214</v>
      </c>
      <c r="H26" s="17">
        <v>10505</v>
      </c>
      <c r="I26" s="17">
        <f>G26+H26-C26-E26</f>
        <v>0</v>
      </c>
      <c r="J26" s="17">
        <f>C26-G26</f>
        <v>-8013</v>
      </c>
      <c r="K26" s="17"/>
    </row>
    <row r="27" ht="20.05" customHeight="1">
      <c r="B27" s="29"/>
      <c r="C27" s="37">
        <v>147</v>
      </c>
      <c r="D27" s="17">
        <v>18371</v>
      </c>
      <c r="E27" s="17">
        <f>D27-C27</f>
        <v>18224</v>
      </c>
      <c r="F27" s="36">
        <f>167</f>
        <v>167</v>
      </c>
      <c r="G27" s="17">
        <v>8121</v>
      </c>
      <c r="H27" s="17">
        <v>10250</v>
      </c>
      <c r="I27" s="17">
        <f>G27+H27-C27-E27</f>
        <v>0</v>
      </c>
      <c r="J27" s="17">
        <f>C27-G27</f>
        <v>-7974</v>
      </c>
      <c r="K27" s="17"/>
    </row>
    <row r="28" ht="20.05" customHeight="1">
      <c r="B28" s="30">
        <v>2021</v>
      </c>
      <c r="C28" s="37">
        <v>166</v>
      </c>
      <c r="D28" s="17">
        <v>18442</v>
      </c>
      <c r="E28" s="17">
        <f>D28-C28</f>
        <v>18276</v>
      </c>
      <c r="F28" s="36">
        <f t="shared" si="74"/>
        <v>176</v>
      </c>
      <c r="G28" s="17">
        <v>7927</v>
      </c>
      <c r="H28" s="17">
        <v>10515</v>
      </c>
      <c r="I28" s="17">
        <f>G28+H28-C28-E28</f>
        <v>0</v>
      </c>
      <c r="J28" s="17">
        <f>C28-G28</f>
        <v>-7761</v>
      </c>
      <c r="K28" s="17"/>
    </row>
    <row r="29" ht="20.05" customHeight="1">
      <c r="B29" s="29"/>
      <c r="C29" s="37">
        <v>408</v>
      </c>
      <c r="D29" s="17">
        <v>16987</v>
      </c>
      <c r="E29" s="17">
        <f>D29-C29</f>
        <v>16579</v>
      </c>
      <c r="F29" s="36">
        <f>173+8</f>
        <v>181</v>
      </c>
      <c r="G29" s="17">
        <v>6425</v>
      </c>
      <c r="H29" s="17">
        <v>10562</v>
      </c>
      <c r="I29" s="17">
        <f>G29+H29-C29-E29</f>
        <v>0</v>
      </c>
      <c r="J29" s="17">
        <f>C29-G29</f>
        <v>-6017</v>
      </c>
      <c r="K29" s="17"/>
    </row>
    <row r="30" ht="20.05" customHeight="1">
      <c r="B30" s="29"/>
      <c r="C30" s="37">
        <v>379</v>
      </c>
      <c r="D30" s="17">
        <v>17062</v>
      </c>
      <c r="E30" s="17">
        <f>D30-C30</f>
        <v>16683</v>
      </c>
      <c r="F30" s="36">
        <f>176+8</f>
        <v>184</v>
      </c>
      <c r="G30" s="17">
        <v>6487</v>
      </c>
      <c r="H30" s="17">
        <v>10575</v>
      </c>
      <c r="I30" s="17">
        <f>G30+H30-C30-E30</f>
        <v>0</v>
      </c>
      <c r="J30" s="17">
        <f>C30-G30</f>
        <v>-6108</v>
      </c>
      <c r="K30" s="17">
        <f>J30</f>
        <v>-6108</v>
      </c>
    </row>
    <row r="31" ht="20.05" customHeight="1">
      <c r="B31" s="29"/>
      <c r="C31" s="37"/>
      <c r="D31" s="17"/>
      <c r="E31" s="17">
        <f>D31-C31</f>
        <v>0</v>
      </c>
      <c r="F31" s="36"/>
      <c r="G31" s="17"/>
      <c r="H31" s="17"/>
      <c r="I31" s="17"/>
      <c r="J31" s="17"/>
      <c r="K31" s="17">
        <f>'Model'!F30</f>
        <v>-5952.371661084880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9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66406" style="38" customWidth="1"/>
    <col min="2" max="2" width="8.35156" style="38" customWidth="1"/>
    <col min="3" max="4" width="11.0547" style="38" customWidth="1"/>
    <col min="5" max="16384" width="16.3516" style="38" customWidth="1"/>
  </cols>
  <sheetData>
    <row r="1" ht="31.85" customHeight="1"/>
    <row r="2" ht="27.65" customHeight="1">
      <c r="B2" t="s" s="2">
        <v>56</v>
      </c>
      <c r="C2" s="2"/>
      <c r="D2" s="2"/>
    </row>
    <row r="3" ht="20.25" customHeight="1">
      <c r="B3" s="4"/>
      <c r="C3" t="s" s="3">
        <v>57</v>
      </c>
      <c r="D3" t="s" s="3">
        <v>58</v>
      </c>
    </row>
    <row r="4" ht="20.25" customHeight="1">
      <c r="B4" s="24">
        <v>2014</v>
      </c>
      <c r="C4" s="33">
        <v>155</v>
      </c>
      <c r="D4" s="27"/>
    </row>
    <row r="5" ht="20.05" customHeight="1">
      <c r="B5" s="29"/>
      <c r="C5" s="16">
        <v>170</v>
      </c>
      <c r="D5" s="17"/>
    </row>
    <row r="6" ht="20.05" customHeight="1">
      <c r="B6" s="29"/>
      <c r="C6" s="16">
        <v>181</v>
      </c>
      <c r="D6" s="17"/>
    </row>
    <row r="7" ht="20.05" customHeight="1">
      <c r="B7" s="29"/>
      <c r="C7" s="16">
        <v>172</v>
      </c>
      <c r="D7" s="17"/>
    </row>
    <row r="8" ht="20.05" customHeight="1">
      <c r="B8" s="29"/>
      <c r="C8" s="16">
        <v>147</v>
      </c>
      <c r="D8" s="17"/>
    </row>
    <row r="9" ht="20.05" customHeight="1">
      <c r="B9" s="29"/>
      <c r="C9" s="16">
        <v>106</v>
      </c>
      <c r="D9" s="17"/>
    </row>
    <row r="10" ht="20.05" customHeight="1">
      <c r="B10" s="29"/>
      <c r="C10" s="16">
        <v>119</v>
      </c>
      <c r="D10" s="17"/>
    </row>
    <row r="11" ht="20.05" customHeight="1">
      <c r="B11" s="29"/>
      <c r="C11" s="16">
        <v>119</v>
      </c>
      <c r="D11" s="17"/>
    </row>
    <row r="12" ht="20.05" customHeight="1">
      <c r="B12" s="29"/>
      <c r="C12" s="16">
        <v>101</v>
      </c>
      <c r="D12" s="17"/>
    </row>
    <row r="13" ht="20.05" customHeight="1">
      <c r="B13" s="29"/>
      <c r="C13" s="16">
        <v>89</v>
      </c>
      <c r="D13" s="17"/>
    </row>
    <row r="14" ht="20.05" customHeight="1">
      <c r="B14" s="29"/>
      <c r="C14" s="16">
        <v>115</v>
      </c>
      <c r="D14" s="17"/>
    </row>
    <row r="15" ht="20.05" customHeight="1">
      <c r="B15" s="29"/>
      <c r="C15" s="16">
        <v>104</v>
      </c>
      <c r="D15" s="17"/>
    </row>
    <row r="16" ht="20.05" customHeight="1">
      <c r="B16" s="30">
        <v>2015</v>
      </c>
      <c r="C16" s="16">
        <v>115</v>
      </c>
      <c r="D16" s="17"/>
    </row>
    <row r="17" ht="20.05" customHeight="1">
      <c r="B17" s="29"/>
      <c r="C17" s="16">
        <v>145</v>
      </c>
      <c r="D17" s="17"/>
    </row>
    <row r="18" ht="20.05" customHeight="1">
      <c r="B18" s="29"/>
      <c r="C18" s="16">
        <v>121</v>
      </c>
      <c r="D18" s="17"/>
    </row>
    <row r="19" ht="20.05" customHeight="1">
      <c r="B19" s="29"/>
      <c r="C19" s="16">
        <v>97</v>
      </c>
      <c r="D19" s="17"/>
    </row>
    <row r="20" ht="20.05" customHeight="1">
      <c r="B20" s="29"/>
      <c r="C20" s="16">
        <v>99</v>
      </c>
      <c r="D20" s="17"/>
    </row>
    <row r="21" ht="20.05" customHeight="1">
      <c r="B21" s="29"/>
      <c r="C21" s="16">
        <v>96</v>
      </c>
      <c r="D21" s="17"/>
    </row>
    <row r="22" ht="20.05" customHeight="1">
      <c r="B22" s="29"/>
      <c r="C22" s="16">
        <v>87</v>
      </c>
      <c r="D22" s="17"/>
    </row>
    <row r="23" ht="20.05" customHeight="1">
      <c r="B23" s="29"/>
      <c r="C23" s="16">
        <v>61</v>
      </c>
      <c r="D23" s="17"/>
    </row>
    <row r="24" ht="20.05" customHeight="1">
      <c r="B24" s="29"/>
      <c r="C24" s="16">
        <v>75</v>
      </c>
      <c r="D24" s="17"/>
    </row>
    <row r="25" ht="20.05" customHeight="1">
      <c r="B25" s="29"/>
      <c r="C25" s="16">
        <v>74</v>
      </c>
      <c r="D25" s="17"/>
    </row>
    <row r="26" ht="20.05" customHeight="1">
      <c r="B26" s="29"/>
      <c r="C26" s="16">
        <v>62</v>
      </c>
      <c r="D26" s="17"/>
    </row>
    <row r="27" ht="20.05" customHeight="1">
      <c r="B27" s="29"/>
      <c r="C27" s="16">
        <v>58</v>
      </c>
      <c r="D27" s="17"/>
    </row>
    <row r="28" ht="20.05" customHeight="1">
      <c r="B28" s="30">
        <v>2016</v>
      </c>
      <c r="C28" s="16">
        <v>56</v>
      </c>
      <c r="D28" s="17"/>
    </row>
    <row r="29" ht="20.05" customHeight="1">
      <c r="B29" s="29"/>
      <c r="C29" s="16">
        <v>57</v>
      </c>
      <c r="D29" s="17"/>
    </row>
    <row r="30" ht="20.05" customHeight="1">
      <c r="B30" s="29"/>
      <c r="C30" s="16">
        <v>70</v>
      </c>
      <c r="D30" s="17"/>
    </row>
    <row r="31" ht="20.05" customHeight="1">
      <c r="B31" s="29"/>
      <c r="C31" s="16">
        <v>80</v>
      </c>
      <c r="D31" s="17"/>
    </row>
    <row r="32" ht="20.05" customHeight="1">
      <c r="B32" s="29"/>
      <c r="C32" s="16">
        <v>85</v>
      </c>
      <c r="D32" s="17"/>
    </row>
    <row r="33" ht="20.05" customHeight="1">
      <c r="B33" s="29"/>
      <c r="C33" s="16">
        <v>88</v>
      </c>
      <c r="D33" s="17"/>
    </row>
    <row r="34" ht="20.05" customHeight="1">
      <c r="B34" s="29"/>
      <c r="C34" s="16">
        <v>93</v>
      </c>
      <c r="D34" s="17"/>
    </row>
    <row r="35" ht="20.05" customHeight="1">
      <c r="B35" s="29"/>
      <c r="C35" s="16">
        <v>97</v>
      </c>
      <c r="D35" s="17"/>
    </row>
    <row r="36" ht="20.05" customHeight="1">
      <c r="B36" s="29"/>
      <c r="C36" s="16">
        <v>93</v>
      </c>
      <c r="D36" s="17"/>
    </row>
    <row r="37" ht="20.05" customHeight="1">
      <c r="B37" s="29"/>
      <c r="C37" s="16">
        <v>91</v>
      </c>
      <c r="D37" s="17"/>
    </row>
    <row r="38" ht="20.05" customHeight="1">
      <c r="B38" s="29"/>
      <c r="C38" s="16">
        <v>95</v>
      </c>
      <c r="D38" s="17"/>
    </row>
    <row r="39" ht="20.05" customHeight="1">
      <c r="B39" s="29"/>
      <c r="C39" s="16">
        <v>92</v>
      </c>
      <c r="D39" s="17"/>
    </row>
    <row r="40" ht="20.05" customHeight="1">
      <c r="B40" s="30">
        <v>2017</v>
      </c>
      <c r="C40" s="16">
        <v>90</v>
      </c>
      <c r="D40" s="17"/>
    </row>
    <row r="41" ht="20.05" customHeight="1">
      <c r="B41" s="29"/>
      <c r="C41" s="16">
        <v>104</v>
      </c>
      <c r="D41" s="17"/>
    </row>
    <row r="42" ht="20.05" customHeight="1">
      <c r="B42" s="29"/>
      <c r="C42" s="16">
        <v>96</v>
      </c>
      <c r="D42" s="17"/>
    </row>
    <row r="43" ht="20.05" customHeight="1">
      <c r="B43" s="29"/>
      <c r="C43" s="16">
        <v>88</v>
      </c>
      <c r="D43" s="17"/>
    </row>
    <row r="44" ht="20.05" customHeight="1">
      <c r="B44" s="29"/>
      <c r="C44" s="16">
        <v>75</v>
      </c>
      <c r="D44" s="17"/>
    </row>
    <row r="45" ht="20.05" customHeight="1">
      <c r="B45" s="29"/>
      <c r="C45" s="16">
        <v>74</v>
      </c>
      <c r="D45" s="17"/>
    </row>
    <row r="46" ht="20.05" customHeight="1">
      <c r="B46" s="29"/>
      <c r="C46" s="16">
        <v>92</v>
      </c>
      <c r="D46" s="17"/>
    </row>
    <row r="47" ht="20.05" customHeight="1">
      <c r="B47" s="29"/>
      <c r="C47" s="16">
        <v>150</v>
      </c>
      <c r="D47" s="17"/>
    </row>
    <row r="48" ht="20.05" customHeight="1">
      <c r="B48" s="29"/>
      <c r="C48" s="16">
        <v>149</v>
      </c>
      <c r="D48" s="17"/>
    </row>
    <row r="49" ht="20.05" customHeight="1">
      <c r="B49" s="29"/>
      <c r="C49" s="16">
        <v>143</v>
      </c>
      <c r="D49" s="17"/>
    </row>
    <row r="50" ht="20.05" customHeight="1">
      <c r="B50" s="29"/>
      <c r="C50" s="16">
        <v>156</v>
      </c>
      <c r="D50" s="17"/>
    </row>
    <row r="51" ht="20.05" customHeight="1">
      <c r="B51" s="29"/>
      <c r="C51" s="16">
        <v>130</v>
      </c>
      <c r="D51" s="17"/>
    </row>
    <row r="52" ht="20.05" customHeight="1">
      <c r="B52" s="30">
        <v>2018</v>
      </c>
      <c r="C52" s="16">
        <v>147</v>
      </c>
      <c r="D52" s="17"/>
    </row>
    <row r="53" ht="20.05" customHeight="1">
      <c r="B53" s="29"/>
      <c r="C53" s="16">
        <v>206</v>
      </c>
      <c r="D53" s="17"/>
    </row>
    <row r="54" ht="20.05" customHeight="1">
      <c r="B54" s="29"/>
      <c r="C54" s="16">
        <v>188</v>
      </c>
      <c r="D54" s="17"/>
    </row>
    <row r="55" ht="20.05" customHeight="1">
      <c r="B55" s="29"/>
      <c r="C55" s="16">
        <v>187</v>
      </c>
      <c r="D55" s="17"/>
    </row>
    <row r="56" ht="20.05" customHeight="1">
      <c r="B56" s="29"/>
      <c r="C56" s="16">
        <v>141</v>
      </c>
      <c r="D56" s="17"/>
    </row>
    <row r="57" ht="20.05" customHeight="1">
      <c r="B57" s="29"/>
      <c r="C57" s="16">
        <v>110</v>
      </c>
      <c r="D57" s="17"/>
    </row>
    <row r="58" ht="20.05" customHeight="1">
      <c r="B58" s="29"/>
      <c r="C58" s="16">
        <v>126</v>
      </c>
      <c r="D58" s="17"/>
    </row>
    <row r="59" ht="20.05" customHeight="1">
      <c r="B59" s="29"/>
      <c r="C59" s="16">
        <v>123</v>
      </c>
      <c r="D59" s="17"/>
    </row>
    <row r="60" ht="20.05" customHeight="1">
      <c r="B60" s="29"/>
      <c r="C60" s="16">
        <v>111</v>
      </c>
      <c r="D60" s="17"/>
    </row>
    <row r="61" ht="20.05" customHeight="1">
      <c r="B61" s="29"/>
      <c r="C61" s="16">
        <v>95</v>
      </c>
      <c r="D61" s="17"/>
    </row>
    <row r="62" ht="20.05" customHeight="1">
      <c r="B62" s="29"/>
      <c r="C62" s="16">
        <v>113</v>
      </c>
      <c r="D62" s="17"/>
    </row>
    <row r="63" ht="20.05" customHeight="1">
      <c r="B63" s="29"/>
      <c r="C63" s="16">
        <v>109</v>
      </c>
      <c r="D63" s="17"/>
    </row>
    <row r="64" ht="20.05" customHeight="1">
      <c r="B64" s="30">
        <v>2019</v>
      </c>
      <c r="C64" s="16">
        <v>123</v>
      </c>
      <c r="D64" s="17"/>
    </row>
    <row r="65" ht="20.05" customHeight="1">
      <c r="B65" s="29"/>
      <c r="C65" s="16">
        <v>126</v>
      </c>
      <c r="D65" s="17"/>
    </row>
    <row r="66" ht="20.05" customHeight="1">
      <c r="B66" s="29"/>
      <c r="C66" s="16">
        <v>107</v>
      </c>
      <c r="D66" s="17"/>
    </row>
    <row r="67" ht="20.05" customHeight="1">
      <c r="B67" s="29"/>
      <c r="C67" s="16">
        <v>115</v>
      </c>
      <c r="D67" s="17"/>
    </row>
    <row r="68" ht="20.05" customHeight="1">
      <c r="B68" s="29"/>
      <c r="C68" s="16">
        <v>123</v>
      </c>
      <c r="D68" s="17"/>
    </row>
    <row r="69" ht="20.05" customHeight="1">
      <c r="B69" s="29"/>
      <c r="C69" s="16">
        <v>128</v>
      </c>
      <c r="D69" s="17"/>
    </row>
    <row r="70" ht="20.05" customHeight="1">
      <c r="B70" s="29"/>
      <c r="C70" s="16">
        <v>149</v>
      </c>
      <c r="D70" s="17"/>
    </row>
    <row r="71" ht="20.05" customHeight="1">
      <c r="B71" s="29"/>
      <c r="C71" s="16">
        <v>121</v>
      </c>
      <c r="D71" s="17"/>
    </row>
    <row r="72" ht="20.05" customHeight="1">
      <c r="B72" s="29"/>
      <c r="C72" s="16">
        <v>115</v>
      </c>
      <c r="D72" s="17"/>
    </row>
    <row r="73" ht="20.05" customHeight="1">
      <c r="B73" s="29"/>
      <c r="C73" s="16">
        <v>117</v>
      </c>
      <c r="D73" s="17"/>
    </row>
    <row r="74" ht="20.05" customHeight="1">
      <c r="B74" s="29"/>
      <c r="C74" s="16">
        <v>78</v>
      </c>
      <c r="D74" s="31"/>
    </row>
    <row r="75" ht="20.05" customHeight="1">
      <c r="B75" s="29"/>
      <c r="C75" s="16">
        <v>85</v>
      </c>
      <c r="D75" s="31"/>
    </row>
    <row r="76" ht="20.05" customHeight="1">
      <c r="B76" s="30">
        <v>2020</v>
      </c>
      <c r="C76" s="16">
        <v>58</v>
      </c>
      <c r="D76" s="31"/>
    </row>
    <row r="77" ht="20.05" customHeight="1">
      <c r="B77" s="29"/>
      <c r="C77" s="16">
        <v>50</v>
      </c>
      <c r="D77" s="31"/>
    </row>
    <row r="78" ht="20.05" customHeight="1">
      <c r="B78" s="29"/>
      <c r="C78" s="16">
        <v>50</v>
      </c>
      <c r="D78" s="31"/>
    </row>
    <row r="79" ht="20.05" customHeight="1">
      <c r="B79" s="29"/>
      <c r="C79" s="16">
        <v>50</v>
      </c>
      <c r="D79" s="31"/>
    </row>
    <row r="80" ht="20.05" customHeight="1">
      <c r="B80" s="29"/>
      <c r="C80" s="16">
        <v>50</v>
      </c>
      <c r="D80" s="31"/>
    </row>
    <row r="81" ht="20.05" customHeight="1">
      <c r="B81" s="29"/>
      <c r="C81" s="16">
        <v>50</v>
      </c>
      <c r="D81" s="17"/>
    </row>
    <row r="82" ht="20.05" customHeight="1">
      <c r="B82" s="29"/>
      <c r="C82" s="16">
        <v>50</v>
      </c>
      <c r="D82" s="31"/>
    </row>
    <row r="83" ht="20.05" customHeight="1">
      <c r="B83" s="29"/>
      <c r="C83" s="16">
        <v>50</v>
      </c>
      <c r="D83" s="31"/>
    </row>
    <row r="84" ht="20.05" customHeight="1">
      <c r="B84" s="29"/>
      <c r="C84" s="16">
        <v>50</v>
      </c>
      <c r="D84" s="31"/>
    </row>
    <row r="85" ht="20.05" customHeight="1">
      <c r="B85" s="29"/>
      <c r="C85" s="16">
        <v>50</v>
      </c>
      <c r="D85" s="31"/>
    </row>
    <row r="86" ht="20.05" customHeight="1">
      <c r="B86" s="29"/>
      <c r="C86" s="16">
        <v>50</v>
      </c>
      <c r="D86" s="31"/>
    </row>
    <row r="87" ht="20.05" customHeight="1">
      <c r="B87" s="29"/>
      <c r="C87" s="16">
        <v>50</v>
      </c>
      <c r="D87" s="31"/>
    </row>
    <row r="88" ht="20.05" customHeight="1">
      <c r="B88" s="30">
        <v>2021</v>
      </c>
      <c r="C88" s="16">
        <v>50</v>
      </c>
      <c r="D88" s="31"/>
    </row>
    <row r="89" ht="20.05" customHeight="1">
      <c r="B89" s="29"/>
      <c r="C89" s="16">
        <v>50</v>
      </c>
      <c r="D89" s="31"/>
    </row>
    <row r="90" ht="20.05" customHeight="1">
      <c r="B90" s="29"/>
      <c r="C90" s="16">
        <v>50</v>
      </c>
      <c r="D90" s="31"/>
    </row>
    <row r="91" ht="20.05" customHeight="1">
      <c r="B91" s="29"/>
      <c r="C91" s="16">
        <v>72</v>
      </c>
      <c r="D91" s="31"/>
    </row>
    <row r="92" ht="20.05" customHeight="1">
      <c r="B92" s="29"/>
      <c r="C92" s="16">
        <v>69</v>
      </c>
      <c r="D92" s="31"/>
    </row>
    <row r="93" ht="20.05" customHeight="1">
      <c r="B93" s="29"/>
      <c r="C93" s="16">
        <v>63</v>
      </c>
      <c r="D93" s="31"/>
    </row>
    <row r="94" ht="20.05" customHeight="1">
      <c r="B94" s="29"/>
      <c r="C94" s="16">
        <v>55</v>
      </c>
      <c r="D94" s="31"/>
    </row>
    <row r="95" ht="20.05" customHeight="1">
      <c r="B95" s="29"/>
      <c r="C95" s="16">
        <v>53</v>
      </c>
      <c r="D95" s="31"/>
    </row>
    <row r="96" ht="20.05" customHeight="1">
      <c r="B96" s="29"/>
      <c r="C96" s="16">
        <v>60</v>
      </c>
      <c r="D96" s="31"/>
    </row>
    <row r="97" ht="20.05" customHeight="1">
      <c r="B97" s="29"/>
      <c r="C97" s="16">
        <v>62</v>
      </c>
      <c r="D97" s="31"/>
    </row>
    <row r="98" ht="20.05" customHeight="1">
      <c r="B98" s="29"/>
      <c r="C98" s="16">
        <v>66</v>
      </c>
      <c r="D98" s="17">
        <f>C98</f>
        <v>66</v>
      </c>
    </row>
    <row r="99" ht="20.05" customHeight="1">
      <c r="B99" s="29"/>
      <c r="C99" s="16"/>
      <c r="D99" s="20">
        <f>'Model'!F42</f>
        <v>85.18992011704439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