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</sheets>
</workbook>
</file>

<file path=xl/sharedStrings.xml><?xml version="1.0" encoding="utf-8"?>
<sst xmlns="http://schemas.openxmlformats.org/spreadsheetml/2006/main" uniqueCount="46">
  <si>
    <t>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</si>
  <si>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</si>
  <si>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</si>
  <si>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</si>
  <si>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</si>
  <si>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</si>
  <si>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</si>
  <si>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</si>
  <si>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</si>
  <si>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</si>
  <si>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</si>
  <si>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</si>
  <si>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Leases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</si>
  <si>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</si>
  <si>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</si>
  <si>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</si>
  <si>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</si>
  <si>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</si>
  <si>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</si>
  <si>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</si>
  <si>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</si>
  <si>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</si>
  <si>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</si>
  <si>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</si>
  <si>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</si>
  <si>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</si>
  <si>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</si>
  <si>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</si>
  <si>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</si>
  <si>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</si>
  <si>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</si>
  <si>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</si>
  <si>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</si>
  <si>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</si>
  <si>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</si>
  <si>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</si>
  <si>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</si>
  <si>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</si>
  <si>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</si>
  <si>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Data</t>
  </si>
  <si>
    <t xml:space="preserve">Receipts </t>
  </si>
  <si>
    <t xml:space="preserve">Interest </t>
  </si>
  <si>
    <t xml:space="preserve">Assets </t>
  </si>
  <si>
    <t xml:space="preserve">Cashflow costs </t>
  </si>
  <si>
    <t>BEBS</t>
  </si>
  <si>
    <t xml:space="preserve">Previous target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</si>
</sst>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#,##0%"/>
    <numFmt numFmtId="61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732152</xdr:colOff>
      <xdr:row>1</xdr:row>
      <xdr:rowOff>27785</xdr:rowOff>
    </xdr:from>
    <xdr:to>
      <xdr:col>11</xdr:col>
      <xdr:colOff>990934</xdr:colOff>
      <xdr:row>43</xdr:row>
      <xdr:rowOff>114371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67552" y="378940"/>
          <a:ext cx="7726383" cy="107863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3">
        <v>2</v>
      </c>
    </row>
    <row r="3" ht="20.25" customHeight="1">
      <c r="A3" t="s" s="5">
        <v>3</v>
      </c>
      <c r="B3" s="6">
        <f>AVERAGE('Data '!H3:J3)</f>
        <v>0.160034931396274</v>
      </c>
      <c r="C3" s="7"/>
      <c r="D3" s="7"/>
      <c r="E3" s="8">
        <f>AVERAGE(B4:E4)</f>
        <v>0.1</v>
      </c>
    </row>
    <row r="4" ht="20.05" customHeight="1">
      <c r="A4" t="s" s="9">
        <v>4</v>
      </c>
      <c r="B4" s="10">
        <v>0</v>
      </c>
      <c r="C4" s="11">
        <v>0.15</v>
      </c>
      <c r="D4" s="11">
        <v>0.05</v>
      </c>
      <c r="E4" s="12">
        <v>0.2</v>
      </c>
    </row>
    <row r="5" ht="20.05" customHeight="1">
      <c r="A5" t="s" s="9">
        <v>5</v>
      </c>
      <c r="B5" s="13">
        <f>'Data '!J4*(1+B4)</f>
        <v>124.742</v>
      </c>
      <c r="C5" s="14">
        <f>B5*(1+C4)</f>
        <v>143.4533</v>
      </c>
      <c r="D5" s="14">
        <f>C5*(1+D4)</f>
        <v>150.625965</v>
      </c>
      <c r="E5" s="14">
        <f>D5*(1+E4)</f>
        <v>180.751158</v>
      </c>
    </row>
    <row r="6" ht="20.05" customHeight="1">
      <c r="A6" t="s" s="9">
        <v>6</v>
      </c>
      <c r="B6" s="15">
        <f>AVERAGE('Data '!I19:J19)</f>
        <v>-0.737912631728557</v>
      </c>
      <c r="C6" s="16">
        <f>B6</f>
        <v>-0.737912631728557</v>
      </c>
      <c r="D6" s="16">
        <f>C6</f>
        <v>-0.737912631728557</v>
      </c>
      <c r="E6" s="16">
        <f>D6</f>
        <v>-0.737912631728557</v>
      </c>
    </row>
    <row r="7" ht="20.05" customHeight="1">
      <c r="A7" t="s" s="9">
        <v>7</v>
      </c>
      <c r="B7" s="13">
        <f>B5*B6</f>
        <v>-92.0486975070837</v>
      </c>
      <c r="C7" s="17">
        <f>C5*C6</f>
        <v>-105.856002133146</v>
      </c>
      <c r="D7" s="17">
        <f>D5*D6</f>
        <v>-111.148802239804</v>
      </c>
      <c r="E7" s="17">
        <f>E5*E6</f>
        <v>-133.378562687764</v>
      </c>
    </row>
    <row r="8" ht="20.05" customHeight="1">
      <c r="A8" t="s" s="9">
        <v>8</v>
      </c>
      <c r="B8" s="13">
        <f>-'Data '!J17</f>
        <v>-0.954</v>
      </c>
      <c r="C8" s="14">
        <f>B8</f>
        <v>-0.954</v>
      </c>
      <c r="D8" s="14">
        <f>C8</f>
        <v>-0.954</v>
      </c>
      <c r="E8" s="14">
        <f>D8</f>
        <v>-0.954</v>
      </c>
    </row>
    <row r="9" ht="20.05" customHeight="1">
      <c r="A9" t="s" s="9">
        <v>9</v>
      </c>
      <c r="B9" s="13">
        <f>B5+B7+B8</f>
        <v>31.7393024929163</v>
      </c>
      <c r="C9" s="17">
        <f>C5+C7+C8</f>
        <v>36.643297866854</v>
      </c>
      <c r="D9" s="17">
        <f>D5+D7+D8</f>
        <v>38.523162760196</v>
      </c>
      <c r="E9" s="17">
        <f>E5+E7+E8</f>
        <v>46.418595312236</v>
      </c>
    </row>
    <row r="10" ht="20.05" customHeight="1">
      <c r="A10" t="s" s="9">
        <v>10</v>
      </c>
      <c r="B10" s="13">
        <f>B5+B7</f>
        <v>32.6933024929163</v>
      </c>
      <c r="C10" s="17">
        <f>C5+C7</f>
        <v>37.597297866854</v>
      </c>
      <c r="D10" s="17">
        <f>D5+D7</f>
        <v>39.477162760196</v>
      </c>
      <c r="E10" s="17">
        <f>E5+E7</f>
        <v>47.372595312236</v>
      </c>
    </row>
    <row r="11" ht="20.05" customHeight="1">
      <c r="A11" t="s" s="9">
        <v>11</v>
      </c>
      <c r="B11" s="13">
        <f>'Data '!H8</f>
        <v>-1.943</v>
      </c>
      <c r="C11" s="14">
        <f>B11</f>
        <v>-1.943</v>
      </c>
      <c r="D11" s="14">
        <f>C11</f>
        <v>-1.943</v>
      </c>
      <c r="E11" s="14">
        <f>D11</f>
        <v>-1.943</v>
      </c>
    </row>
    <row r="12" ht="20.05" customHeight="1">
      <c r="A12" t="s" s="9">
        <v>12</v>
      </c>
      <c r="B12" s="13">
        <f>AVERAGE('Data '!G9:J9)</f>
        <v>-2.3695</v>
      </c>
      <c r="C12" s="14">
        <f>B12</f>
        <v>-2.3695</v>
      </c>
      <c r="D12" s="14">
        <f>C12</f>
        <v>-2.3695</v>
      </c>
      <c r="E12" s="14">
        <f>D12</f>
        <v>-2.3695</v>
      </c>
    </row>
    <row r="13" ht="20.05" customHeight="1">
      <c r="A13" t="s" s="9">
        <v>13</v>
      </c>
      <c r="B13" s="18">
        <f>-'Data '!J24/20</f>
        <v>-2.3225</v>
      </c>
      <c r="C13" s="17">
        <f>-B23/20</f>
        <v>-2.206375</v>
      </c>
      <c r="D13" s="17">
        <f>-C23/20</f>
        <v>-2.09605625</v>
      </c>
      <c r="E13" s="17">
        <f>-D23/20</f>
        <v>-1.9912534375</v>
      </c>
    </row>
    <row r="14" ht="20.05" customHeight="1">
      <c r="A14" t="s" s="9">
        <v>14</v>
      </c>
      <c r="B14" s="13">
        <f>IF(B9&gt;0,-B9*0.5,0)</f>
        <v>-15.8696512464582</v>
      </c>
      <c r="C14" s="17">
        <f>IF(C9&gt;0,-C9*0.5,0)</f>
        <v>-18.321648933427</v>
      </c>
      <c r="D14" s="17">
        <f>IF(D9&gt;0,-D9*0.5,0)</f>
        <v>-19.261581380098</v>
      </c>
      <c r="E14" s="17">
        <f>IF(E9&gt;0,-E9*0.5,0)</f>
        <v>-23.209297656118</v>
      </c>
    </row>
    <row r="15" ht="20.05" customHeight="1">
      <c r="A15" t="s" s="9">
        <v>15</v>
      </c>
      <c r="B15" s="18">
        <f>B10+B11+B13+B14</f>
        <v>12.5581512464581</v>
      </c>
      <c r="C15" s="17">
        <f>C10+C11+C13+C14</f>
        <v>15.126273933427</v>
      </c>
      <c r="D15" s="17">
        <f>D10+D11+D13+D14</f>
        <v>16.176525130098</v>
      </c>
      <c r="E15" s="17">
        <f>E10+E11+E13+E14</f>
        <v>20.229044218618</v>
      </c>
    </row>
    <row r="16" ht="20.05" customHeight="1">
      <c r="A16" t="s" s="9">
        <v>16</v>
      </c>
      <c r="B16" s="18">
        <f>-MIN(0,B15)</f>
        <v>0</v>
      </c>
      <c r="C16" s="19">
        <f>-MIN(B24,C15)</f>
        <v>0</v>
      </c>
      <c r="D16" s="19">
        <f>-MIN(C24,D15)</f>
        <v>0</v>
      </c>
      <c r="E16" s="19">
        <f>-MIN(D24,E15)</f>
        <v>0</v>
      </c>
    </row>
    <row r="17" ht="20.05" customHeight="1">
      <c r="A17" t="s" s="9">
        <v>17</v>
      </c>
      <c r="B17" s="13">
        <f>'Data '!J15</f>
        <v>26.366</v>
      </c>
      <c r="C17" s="14">
        <f>B19</f>
        <v>38.9241512464581</v>
      </c>
      <c r="D17" s="14">
        <f>C19</f>
        <v>54.0504251798851</v>
      </c>
      <c r="E17" s="14">
        <f>D19</f>
        <v>70.2269503099831</v>
      </c>
    </row>
    <row r="18" ht="20.05" customHeight="1">
      <c r="A18" t="s" s="9">
        <v>18</v>
      </c>
      <c r="B18" s="18">
        <f>B10+B11+B13+B14+B16</f>
        <v>12.5581512464581</v>
      </c>
      <c r="C18" s="17">
        <f>C10+C11+C13+C14+C16</f>
        <v>15.126273933427</v>
      </c>
      <c r="D18" s="17">
        <f>D10+D11+D13+D14+D16</f>
        <v>16.176525130098</v>
      </c>
      <c r="E18" s="17">
        <f>E10+E11+E13+E14+E16</f>
        <v>20.229044218618</v>
      </c>
    </row>
    <row r="19" ht="20.05" customHeight="1">
      <c r="A19" t="s" s="9">
        <v>19</v>
      </c>
      <c r="B19" s="13">
        <f>B17+B18</f>
        <v>38.9241512464581</v>
      </c>
      <c r="C19" s="14">
        <f>C17+C18</f>
        <v>54.0504251798851</v>
      </c>
      <c r="D19" s="14">
        <f>D17+D18</f>
        <v>70.2269503099831</v>
      </c>
      <c r="E19" s="14">
        <f>E17+E18</f>
        <v>90.4559945286011</v>
      </c>
    </row>
    <row r="20" ht="20.05" customHeight="1">
      <c r="A20" t="s" s="20">
        <v>20</v>
      </c>
      <c r="B20" s="21"/>
      <c r="C20" s="22"/>
      <c r="D20" s="22"/>
      <c r="E20" s="22"/>
    </row>
    <row r="21" ht="20.05" customHeight="1">
      <c r="A21" t="s" s="9">
        <v>21</v>
      </c>
      <c r="B21" s="18">
        <f>'Data '!J23+'Data '!J22-B11</f>
        <v>712.574</v>
      </c>
      <c r="C21" s="14">
        <f>B21-C11</f>
        <v>714.5170000000001</v>
      </c>
      <c r="D21" s="14">
        <f>C21-D11</f>
        <v>716.46</v>
      </c>
      <c r="E21" s="14">
        <f>D21-E11</f>
        <v>718.403</v>
      </c>
    </row>
    <row r="22" ht="20.05" customHeight="1">
      <c r="A22" t="s" s="9">
        <v>22</v>
      </c>
      <c r="B22" s="18">
        <f>'Data '!J22-B8</f>
        <v>9.654</v>
      </c>
      <c r="C22" s="14">
        <f>B22-C8</f>
        <v>10.608</v>
      </c>
      <c r="D22" s="14">
        <f>C22-D8</f>
        <v>11.562</v>
      </c>
      <c r="E22" s="14">
        <f>D22-E8</f>
        <v>12.516</v>
      </c>
    </row>
    <row r="23" ht="20.05" customHeight="1">
      <c r="A23" t="s" s="9">
        <v>13</v>
      </c>
      <c r="B23" s="18">
        <f>'Data '!J24+B13</f>
        <v>44.1275</v>
      </c>
      <c r="C23" s="17">
        <f>B23+C13</f>
        <v>41.921125</v>
      </c>
      <c r="D23" s="17">
        <f>C23+D13</f>
        <v>39.82506875</v>
      </c>
      <c r="E23" s="17">
        <f>D23+E13</f>
        <v>37.8338153125</v>
      </c>
    </row>
    <row r="24" ht="20.05" customHeight="1">
      <c r="A24" t="s" s="9">
        <v>16</v>
      </c>
      <c r="B24" s="18">
        <f>B16</f>
        <v>0</v>
      </c>
      <c r="C24" s="19">
        <f>B24+C16</f>
        <v>0</v>
      </c>
      <c r="D24" s="19">
        <f>C24+D16</f>
        <v>0</v>
      </c>
      <c r="E24" s="19">
        <f>D24+E16</f>
        <v>0</v>
      </c>
    </row>
    <row r="25" ht="20.05" customHeight="1">
      <c r="A25" t="s" s="9">
        <v>14</v>
      </c>
      <c r="B25" s="13">
        <f>'Data '!J25+B14+B9</f>
        <v>697.708651246458</v>
      </c>
      <c r="C25" s="14">
        <f>B25+C14+C9</f>
        <v>716.030300179885</v>
      </c>
      <c r="D25" s="14">
        <f>C25+D14+D9</f>
        <v>735.291881559983</v>
      </c>
      <c r="E25" s="14">
        <f>D25+E14+E9</f>
        <v>758.501179216101</v>
      </c>
    </row>
    <row r="26" ht="20.05" customHeight="1">
      <c r="A26" t="s" s="9">
        <v>23</v>
      </c>
      <c r="B26" s="18">
        <f>B23+B24+B25-B19-(B21-B22)</f>
        <v>-0.0080000000001</v>
      </c>
      <c r="C26" s="17">
        <f>C23+C24+C25-C19-(C21-C22)</f>
        <v>-0.0080000000001</v>
      </c>
      <c r="D26" s="17">
        <f>D23+D24+D25-D19-(D21-D22)</f>
        <v>-0.0080000000001</v>
      </c>
      <c r="E26" s="17">
        <f>E23+E24+E25-E19-(E21-E22)</f>
        <v>-0.0080000000001</v>
      </c>
    </row>
    <row r="27" ht="20.05" customHeight="1">
      <c r="A27" t="s" s="9">
        <v>24</v>
      </c>
      <c r="B27" s="18">
        <f>B19-B23-B24</f>
        <v>-5.2033487535419</v>
      </c>
      <c r="C27" s="17">
        <f>C19-C23-C24</f>
        <v>12.1293001798851</v>
      </c>
      <c r="D27" s="17">
        <f>D19-D23-D24</f>
        <v>30.4018815599831</v>
      </c>
      <c r="E27" s="17">
        <f>E19-E23-E24</f>
        <v>52.6221792161011</v>
      </c>
    </row>
    <row r="28" ht="20.05" customHeight="1">
      <c r="A28" t="s" s="20">
        <v>25</v>
      </c>
      <c r="B28" s="21"/>
      <c r="C28" s="22"/>
      <c r="D28" s="22"/>
      <c r="E28" s="22"/>
    </row>
    <row r="29" ht="20.05" customHeight="1">
      <c r="A29" t="s" s="9">
        <v>26</v>
      </c>
      <c r="B29" s="13">
        <f>'Data '!J31-(B13+B14)</f>
        <v>-189.945848753542</v>
      </c>
      <c r="C29" s="14">
        <f>B29-(C13+C16+C14)</f>
        <v>-169.417824820115</v>
      </c>
      <c r="D29" s="14">
        <f>C29-(D13+D16+D14)</f>
        <v>-148.060187190017</v>
      </c>
      <c r="E29" s="14">
        <f>D29-(E13+E16+E14)</f>
        <v>-122.859636096399</v>
      </c>
    </row>
    <row r="30" ht="20.05" customHeight="1">
      <c r="A30" t="s" s="9">
        <v>27</v>
      </c>
      <c r="B30" s="21"/>
      <c r="C30" s="22"/>
      <c r="D30" s="22"/>
      <c r="E30" s="14">
        <v>58270</v>
      </c>
    </row>
    <row r="31" ht="20.05" customHeight="1">
      <c r="A31" t="s" s="9">
        <v>28</v>
      </c>
      <c r="B31" s="21"/>
      <c r="C31" s="22"/>
      <c r="D31" s="22"/>
      <c r="E31" s="23">
        <f>E30/(E19+E21-E22)</f>
        <v>73.17198795035949</v>
      </c>
    </row>
    <row r="32" ht="20.05" customHeight="1">
      <c r="A32" t="s" s="9">
        <v>29</v>
      </c>
      <c r="B32" s="21"/>
      <c r="C32" s="22"/>
      <c r="D32" s="22"/>
      <c r="E32" s="16">
        <f>-(B14+C14+D14+E14)/E30</f>
        <v>0.00131563719265662</v>
      </c>
    </row>
    <row r="33" ht="20.05" customHeight="1">
      <c r="A33" t="s" s="9">
        <v>3</v>
      </c>
      <c r="B33" s="21"/>
      <c r="C33" s="22"/>
      <c r="D33" s="22"/>
      <c r="E33" s="14">
        <f>SUM(E10:E11)*4</f>
        <v>181.718381248944</v>
      </c>
    </row>
    <row r="34" ht="20.05" customHeight="1">
      <c r="A34" t="s" s="9">
        <v>30</v>
      </c>
      <c r="B34" s="21"/>
      <c r="C34" s="22"/>
      <c r="D34" s="22"/>
      <c r="E34" s="24">
        <f>'Data '!J23/E33</f>
        <v>3.86274077050243</v>
      </c>
    </row>
    <row r="35" ht="20.05" customHeight="1">
      <c r="A35" t="s" s="9">
        <v>25</v>
      </c>
      <c r="B35" s="21"/>
      <c r="C35" s="22"/>
      <c r="D35" s="22"/>
      <c r="E35" s="14">
        <f>E30/E33</f>
        <v>320.661011833323</v>
      </c>
    </row>
    <row r="36" ht="20.05" customHeight="1">
      <c r="A36" t="s" s="9">
        <v>31</v>
      </c>
      <c r="B36" s="21"/>
      <c r="C36" s="22"/>
      <c r="D36" s="22"/>
      <c r="E36" s="19">
        <v>150</v>
      </c>
    </row>
    <row r="37" ht="20.05" customHeight="1">
      <c r="A37" t="s" s="9">
        <v>32</v>
      </c>
      <c r="B37" s="21"/>
      <c r="C37" s="22"/>
      <c r="D37" s="22"/>
      <c r="E37" s="17">
        <f>E33*E36</f>
        <v>27257.7571873416</v>
      </c>
    </row>
    <row r="38" ht="20.05" customHeight="1">
      <c r="A38" t="s" s="9">
        <v>33</v>
      </c>
      <c r="B38" s="21"/>
      <c r="C38" s="22"/>
      <c r="D38" s="22"/>
      <c r="E38" s="14">
        <f>E30/E40</f>
        <v>8.9992277992278</v>
      </c>
    </row>
    <row r="39" ht="20.05" customHeight="1">
      <c r="A39" t="s" s="9">
        <v>34</v>
      </c>
      <c r="B39" s="21"/>
      <c r="C39" s="22"/>
      <c r="D39" s="22"/>
      <c r="E39" s="14">
        <f>E37/E38</f>
        <v>3028.899567325160</v>
      </c>
    </row>
    <row r="40" ht="20.05" customHeight="1">
      <c r="A40" t="s" s="9">
        <v>35</v>
      </c>
      <c r="B40" s="21"/>
      <c r="C40" s="22"/>
      <c r="D40" s="22"/>
      <c r="E40" s="14">
        <f>'Data '!K32</f>
        <v>6475</v>
      </c>
    </row>
    <row r="41" ht="20.05" customHeight="1">
      <c r="A41" t="s" s="9">
        <v>36</v>
      </c>
      <c r="B41" s="21"/>
      <c r="C41" s="22"/>
      <c r="D41" s="22"/>
      <c r="E41" s="16">
        <f>E39/E40-1</f>
        <v>-0.532216283038585</v>
      </c>
    </row>
    <row r="42" ht="20.05" customHeight="1">
      <c r="A42" t="s" s="9">
        <v>37</v>
      </c>
      <c r="B42" s="21"/>
      <c r="C42" s="22"/>
      <c r="D42" s="22"/>
      <c r="E42" s="16">
        <f>'Data '!J4/17-1</f>
        <v>6.33776470588235</v>
      </c>
    </row>
    <row r="43" ht="20.05" customHeight="1">
      <c r="A43" t="s" s="9">
        <v>38</v>
      </c>
      <c r="B43" s="21"/>
      <c r="C43" s="22"/>
      <c r="D43" s="22"/>
      <c r="E43" s="16">
        <f>'Data '!J5/'Data '!J4-1</f>
        <v>0.524256064517163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N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5" customWidth="1"/>
    <col min="2" max="14" width="9.875" style="25" customWidth="1"/>
    <col min="15" max="16384" width="16.3516" style="25" customWidth="1"/>
  </cols>
  <sheetData>
    <row r="1" ht="27.65" customHeight="1">
      <c r="A1" t="s" s="2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.25" customHeight="1">
      <c r="A2" t="s" s="26">
        <v>1</v>
      </c>
      <c r="B2" s="27">
        <v>2019</v>
      </c>
      <c r="C2" s="27">
        <v>2020</v>
      </c>
      <c r="D2" s="28"/>
      <c r="E2" s="28"/>
      <c r="F2" s="28"/>
      <c r="G2" s="27">
        <v>2021</v>
      </c>
      <c r="H2" s="28"/>
      <c r="I2" s="4"/>
      <c r="J2" s="28"/>
      <c r="K2" s="27">
        <v>2022</v>
      </c>
      <c r="L2" s="28"/>
      <c r="M2" s="28"/>
      <c r="N2" s="28"/>
    </row>
    <row r="3" ht="20.25" customHeight="1">
      <c r="A3" t="s" s="5">
        <v>4</v>
      </c>
      <c r="B3" s="29"/>
      <c r="C3" s="30"/>
      <c r="D3" s="30"/>
      <c r="E3" s="30"/>
      <c r="F3" s="30"/>
      <c r="G3" s="30">
        <f>G4/F4-1</f>
        <v>4.70658823529412</v>
      </c>
      <c r="H3" s="30">
        <f>H4/G4-1</f>
        <v>-0.118294643961572</v>
      </c>
      <c r="I3" s="30">
        <f>I4/H4-1</f>
        <v>0.778327254021698</v>
      </c>
      <c r="J3" s="30">
        <f>J4/I4-1</f>
        <v>-0.179927815871305</v>
      </c>
      <c r="K3" s="7"/>
      <c r="L3" s="30"/>
      <c r="M3" s="30"/>
      <c r="N3" s="30"/>
    </row>
    <row r="4" ht="20.05" customHeight="1">
      <c r="A4" t="s" s="20">
        <v>5</v>
      </c>
      <c r="B4" s="13">
        <v>14.764</v>
      </c>
      <c r="C4" s="14">
        <v>28</v>
      </c>
      <c r="D4" s="14">
        <f>65-C4</f>
        <v>37</v>
      </c>
      <c r="E4" s="14">
        <f>94-D4-C4</f>
        <v>29</v>
      </c>
      <c r="F4" s="14">
        <f>111-E4-D4-C4</f>
        <v>17</v>
      </c>
      <c r="G4" s="14">
        <v>97.012</v>
      </c>
      <c r="H4" s="14">
        <f>182.548-G4</f>
        <v>85.536</v>
      </c>
      <c r="I4" s="14">
        <f>334.659-H4-G4</f>
        <v>152.111</v>
      </c>
      <c r="J4" s="14">
        <f>459.401-I4-H4-G4</f>
        <v>124.742</v>
      </c>
      <c r="K4" s="22"/>
      <c r="L4" s="22"/>
      <c r="M4" s="14"/>
      <c r="N4" s="14"/>
    </row>
    <row r="5" ht="20.05" customHeight="1">
      <c r="A5" t="s" s="20">
        <v>31</v>
      </c>
      <c r="B5" s="13"/>
      <c r="C5" s="14"/>
      <c r="D5" s="14"/>
      <c r="E5" s="14"/>
      <c r="F5" s="14"/>
      <c r="G5" s="14"/>
      <c r="H5" s="22"/>
      <c r="I5" s="22"/>
      <c r="J5" s="14">
        <v>190.13875</v>
      </c>
      <c r="K5" s="14">
        <f>'Model'!B5</f>
        <v>124.742</v>
      </c>
      <c r="L5" s="14">
        <f>'Model'!C5</f>
        <v>143.4533</v>
      </c>
      <c r="M5" s="14">
        <f>'Model'!D5</f>
        <v>150.625965</v>
      </c>
      <c r="N5" s="14">
        <f>'Model'!E5</f>
        <v>180.751158</v>
      </c>
    </row>
    <row r="6" ht="20.05" customHeight="1">
      <c r="A6" t="s" s="20">
        <v>40</v>
      </c>
      <c r="B6" s="13">
        <v>13.556</v>
      </c>
      <c r="C6" s="14">
        <v>23.823</v>
      </c>
      <c r="D6" s="14">
        <f>52.698-C6</f>
        <v>28.875</v>
      </c>
      <c r="E6" s="14">
        <f>84.832-D6-C6</f>
        <v>32.134</v>
      </c>
      <c r="F6" s="14">
        <f>103.876-E6-D6-C6</f>
        <v>19.044</v>
      </c>
      <c r="G6" s="14">
        <v>74.462</v>
      </c>
      <c r="H6" s="14">
        <f>147.936-G6</f>
        <v>73.474</v>
      </c>
      <c r="I6" s="14">
        <f>419.12-H6-G6</f>
        <v>271.184</v>
      </c>
      <c r="J6" s="14">
        <f>412.059-I6-H6-G6</f>
        <v>-7.061</v>
      </c>
      <c r="K6" s="14"/>
      <c r="L6" s="14"/>
      <c r="M6" s="14"/>
      <c r="N6" s="14"/>
    </row>
    <row r="7" ht="20.05" customHeight="1">
      <c r="A7" t="s" s="20">
        <v>10</v>
      </c>
      <c r="B7" s="13">
        <v>1.63</v>
      </c>
      <c r="C7" s="14">
        <v>1.806</v>
      </c>
      <c r="D7" s="14">
        <f>4.185-C7</f>
        <v>2.379</v>
      </c>
      <c r="E7" s="14">
        <f>14.509-D7-C7</f>
        <v>10.324</v>
      </c>
      <c r="F7" s="14">
        <f>11.357-E7-D7-C7</f>
        <v>-3.152</v>
      </c>
      <c r="G7" s="14">
        <v>5.35</v>
      </c>
      <c r="H7" s="14">
        <f>4.132-G7</f>
        <v>-1.218</v>
      </c>
      <c r="I7" s="14">
        <f>166.35-H7-G7</f>
        <v>162.218</v>
      </c>
      <c r="J7" s="14">
        <f>70.948-I7-H7-G7</f>
        <v>-95.402</v>
      </c>
      <c r="K7" s="14"/>
      <c r="L7" s="16"/>
      <c r="M7" s="14"/>
      <c r="N7" s="14"/>
    </row>
    <row r="8" ht="20.05" customHeight="1">
      <c r="A8" t="s" s="20">
        <v>11</v>
      </c>
      <c r="B8" s="13">
        <v>-7.325</v>
      </c>
      <c r="C8" s="14">
        <v>-0.197</v>
      </c>
      <c r="D8" s="14">
        <f>-0.476-C8</f>
        <v>-0.279</v>
      </c>
      <c r="E8" s="14">
        <f>-16.531-D8-C8</f>
        <v>-16.055</v>
      </c>
      <c r="F8" s="14">
        <f>-11.525-E8-D8-C8</f>
        <v>5.006</v>
      </c>
      <c r="G8" s="14">
        <v>-190.018</v>
      </c>
      <c r="H8" s="14">
        <f>-191.961-G8</f>
        <v>-1.943</v>
      </c>
      <c r="I8" s="14">
        <f>-351.97-H8-G8</f>
        <v>-160.009</v>
      </c>
      <c r="J8" s="14">
        <f>-227.278-I8-H8-G8</f>
        <v>124.692</v>
      </c>
      <c r="K8" s="14"/>
      <c r="L8" s="14"/>
      <c r="M8" s="14"/>
      <c r="N8" s="14"/>
    </row>
    <row r="9" ht="20.05" customHeight="1">
      <c r="A9" t="s" s="20">
        <v>12</v>
      </c>
      <c r="B9" s="13">
        <v>-3</v>
      </c>
      <c r="C9" s="14">
        <v>-1.693</v>
      </c>
      <c r="D9" s="14">
        <f>-3.45-C9</f>
        <v>-1.757</v>
      </c>
      <c r="E9" s="14">
        <f>-5.242-D9-C9</f>
        <v>-1.792</v>
      </c>
      <c r="F9" s="14">
        <f>-7.101-E9-D9-C9</f>
        <v>-1.859</v>
      </c>
      <c r="G9" s="14">
        <v>-1.917</v>
      </c>
      <c r="H9" s="14">
        <f>-3.895-G9</f>
        <v>-1.978</v>
      </c>
      <c r="I9" s="14">
        <f>-5.936-H9-G9</f>
        <v>-2.041</v>
      </c>
      <c r="J9" s="14">
        <f>-9.478-I9-H9-G9</f>
        <v>-3.542</v>
      </c>
      <c r="K9" s="14"/>
      <c r="L9" s="14"/>
      <c r="M9" s="14"/>
      <c r="N9" s="14"/>
    </row>
    <row r="10" ht="20.05" customHeight="1">
      <c r="A10" t="s" s="20">
        <v>41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ht="20.05" customHeight="1">
      <c r="A11" t="s" s="20">
        <v>13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ht="20.05" customHeight="1">
      <c r="A12" t="s" s="20">
        <v>14</v>
      </c>
      <c r="B12" s="13">
        <v>8.846</v>
      </c>
      <c r="C12" s="14"/>
      <c r="D12" s="14"/>
      <c r="E12" s="14">
        <f>7.39-D12-C12</f>
        <v>7.39</v>
      </c>
      <c r="F12" s="14">
        <f>7.39-E12-D12-C12</f>
        <v>0</v>
      </c>
      <c r="G12" s="14">
        <v>190.857</v>
      </c>
      <c r="H12" s="14">
        <f>191.905-G12</f>
        <v>1.048</v>
      </c>
      <c r="I12" s="14">
        <f>191.904-H12-G12</f>
        <v>-0.001</v>
      </c>
      <c r="J12" s="14">
        <f>191.904+I12-H12-G12</f>
        <v>-0.002</v>
      </c>
      <c r="K12" s="14"/>
      <c r="L12" s="14"/>
      <c r="M12" s="14"/>
      <c r="N12" s="14"/>
    </row>
    <row r="13" ht="20.05" customHeight="1">
      <c r="A13" t="s" s="20">
        <v>17</v>
      </c>
      <c r="B13" s="13">
        <f>0</f>
        <v>0</v>
      </c>
      <c r="C13" s="14">
        <f>B15</f>
        <v>0.151</v>
      </c>
      <c r="D13" s="14">
        <f>C15</f>
        <v>0.067</v>
      </c>
      <c r="E13" s="14">
        <f>D15</f>
        <v>0.41</v>
      </c>
      <c r="F13" s="14">
        <f>E15</f>
        <v>0.277</v>
      </c>
      <c r="G13" s="14">
        <f>F15</f>
        <v>0.272</v>
      </c>
      <c r="H13" s="14">
        <f>G15</f>
        <v>4.544</v>
      </c>
      <c r="I13" s="14">
        <f>H15</f>
        <v>0.453</v>
      </c>
      <c r="J13" s="14">
        <f>I15</f>
        <v>0.62</v>
      </c>
      <c r="K13" s="14"/>
      <c r="L13" s="14"/>
      <c r="M13" s="14"/>
      <c r="N13" s="14"/>
    </row>
    <row r="14" ht="20.05" customHeight="1">
      <c r="A14" t="s" s="20">
        <v>18</v>
      </c>
      <c r="B14" s="13">
        <f>B7+B8+B9+B10+B11+B12</f>
        <v>0.151</v>
      </c>
      <c r="C14" s="14">
        <f>C7+C8+C9+C10+C11+C12</f>
        <v>-0.08400000000000001</v>
      </c>
      <c r="D14" s="14">
        <f>D7+D8+D9+D10+D11+D12</f>
        <v>0.343</v>
      </c>
      <c r="E14" s="14">
        <f>E7+E8+E9+E10+E11+E12</f>
        <v>-0.133</v>
      </c>
      <c r="F14" s="14">
        <f>F7+F8+F9+F10+F11+F12</f>
        <v>-0.005</v>
      </c>
      <c r="G14" s="14">
        <f>G7+G8+G9+G10+G11+G12</f>
        <v>4.272</v>
      </c>
      <c r="H14" s="14">
        <f>H7+H8+H9+H10+H11+H12</f>
        <v>-4.091</v>
      </c>
      <c r="I14" s="14">
        <f>I7+I8+I9+I10+I11+I12</f>
        <v>0.167</v>
      </c>
      <c r="J14" s="14">
        <f>J7+J8+J9+J10+J11+J12</f>
        <v>25.746</v>
      </c>
      <c r="K14" s="22"/>
      <c r="L14" s="22"/>
      <c r="M14" s="22"/>
      <c r="N14" s="22"/>
    </row>
    <row r="15" ht="20.05" customHeight="1">
      <c r="A15" t="s" s="20">
        <v>19</v>
      </c>
      <c r="B15" s="13">
        <f>B13+B14</f>
        <v>0.151</v>
      </c>
      <c r="C15" s="14">
        <f>C13+C14</f>
        <v>0.067</v>
      </c>
      <c r="D15" s="14">
        <f>D13+D14</f>
        <v>0.41</v>
      </c>
      <c r="E15" s="14">
        <f>E13+E14</f>
        <v>0.277</v>
      </c>
      <c r="F15" s="14">
        <f>F13+F14</f>
        <v>0.272</v>
      </c>
      <c r="G15" s="14">
        <f>G13+G14</f>
        <v>4.544</v>
      </c>
      <c r="H15" s="14">
        <f>H13+H14</f>
        <v>0.453</v>
      </c>
      <c r="I15" s="14">
        <f>I13+I14</f>
        <v>0.62</v>
      </c>
      <c r="J15" s="14">
        <f>J13+J14</f>
        <v>26.366</v>
      </c>
      <c r="K15" s="22"/>
      <c r="L15" s="22"/>
      <c r="M15" s="22"/>
      <c r="N15" s="22"/>
    </row>
    <row r="16" ht="20.05" customHeight="1">
      <c r="A16" s="31"/>
      <c r="B16" s="13"/>
      <c r="C16" s="14"/>
      <c r="D16" s="14"/>
      <c r="E16" s="14"/>
      <c r="F16" s="14"/>
      <c r="G16" s="14"/>
      <c r="H16" s="14"/>
      <c r="I16" s="22"/>
      <c r="J16" s="22"/>
      <c r="K16" s="22"/>
      <c r="L16" s="22"/>
      <c r="M16" s="22"/>
      <c r="N16" s="22"/>
    </row>
    <row r="17" ht="20.05" customHeight="1">
      <c r="A17" t="s" s="20">
        <v>8</v>
      </c>
      <c r="B17" s="32">
        <f>0.054+1.337+0.031</f>
        <v>1.422</v>
      </c>
      <c r="C17" s="17">
        <v>0.9007500000000001</v>
      </c>
      <c r="D17" s="17">
        <v>0.9007500000000001</v>
      </c>
      <c r="E17" s="17">
        <v>0.9007500000000001</v>
      </c>
      <c r="F17" s="17">
        <v>0.9007500000000001</v>
      </c>
      <c r="G17" s="17">
        <v>0.907</v>
      </c>
      <c r="H17" s="17">
        <v>0.907</v>
      </c>
      <c r="I17" s="14">
        <v>0.907</v>
      </c>
      <c r="J17" s="14">
        <f>J22-I22</f>
        <v>0.954</v>
      </c>
      <c r="K17" s="14"/>
      <c r="L17" s="14"/>
      <c r="M17" s="14"/>
      <c r="N17" s="14"/>
    </row>
    <row r="18" ht="20.05" customHeight="1">
      <c r="A18" t="s" s="20">
        <v>9</v>
      </c>
      <c r="B18" s="13">
        <v>0.221</v>
      </c>
      <c r="C18" s="14">
        <v>4.008</v>
      </c>
      <c r="D18" s="14">
        <f>12.959-C18</f>
        <v>8.951000000000001</v>
      </c>
      <c r="E18" s="14">
        <f>16.66-D18-C18</f>
        <v>3.701</v>
      </c>
      <c r="F18" s="14">
        <f>20.791-E18-D18-C18</f>
        <v>4.131</v>
      </c>
      <c r="G18" s="14">
        <v>20.954</v>
      </c>
      <c r="H18" s="14">
        <f>40.102-G18</f>
        <v>19.148</v>
      </c>
      <c r="I18" s="14">
        <f>75.006-H18-G18</f>
        <v>34.904</v>
      </c>
      <c r="J18" s="14">
        <f>110.071-I18-H18-G18</f>
        <v>35.065</v>
      </c>
      <c r="K18" s="14"/>
      <c r="L18" s="14"/>
      <c r="M18" s="14"/>
      <c r="N18" s="14"/>
    </row>
    <row r="19" ht="20.05" customHeight="1">
      <c r="A19" t="s" s="20">
        <v>6</v>
      </c>
      <c r="B19" s="15">
        <f>(B17+B18-B4)/B4</f>
        <v>-0.888715795177459</v>
      </c>
      <c r="C19" s="16">
        <f>(C17+C18-C4)/C4</f>
        <v>-0.8246875</v>
      </c>
      <c r="D19" s="16">
        <f>(D17+D18-D4)/D4</f>
        <v>-0.733736486486486</v>
      </c>
      <c r="E19" s="16">
        <f>(E17+E18-E4)/E4</f>
        <v>-0.8413189655172409</v>
      </c>
      <c r="F19" s="16">
        <f>(F17+F18-F4)/F4</f>
        <v>-0.704014705882353</v>
      </c>
      <c r="G19" s="16">
        <f>(G18+G17-G4)/G4</f>
        <v>-0.7746567434956499</v>
      </c>
      <c r="H19" s="16">
        <f>(H18+H17-H4)/H4</f>
        <v>-0.765537317620651</v>
      </c>
      <c r="I19" s="16">
        <f>(I18+I17-I4)/I4</f>
        <v>-0.7645732392792109</v>
      </c>
      <c r="J19" s="16">
        <f>(J18+J17-J4)/J4</f>
        <v>-0.711252024177903</v>
      </c>
      <c r="K19" s="16">
        <f>'Model'!B6</f>
        <v>-0.737912631728557</v>
      </c>
      <c r="L19" s="16"/>
      <c r="M19" s="16"/>
      <c r="N19" s="16"/>
    </row>
    <row r="20" ht="20.05" customHeight="1">
      <c r="A20" s="3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20.05" customHeight="1">
      <c r="A21" t="s" s="20">
        <v>42</v>
      </c>
      <c r="B21" s="13">
        <v>370.626</v>
      </c>
      <c r="C21" s="14"/>
      <c r="D21" s="14"/>
      <c r="E21" s="14"/>
      <c r="F21" s="14">
        <v>406.999</v>
      </c>
      <c r="G21" s="14">
        <v>626.016</v>
      </c>
      <c r="H21" s="14">
        <v>647.221</v>
      </c>
      <c r="I21" s="14">
        <v>814.884</v>
      </c>
      <c r="J21" s="14">
        <v>728.297</v>
      </c>
      <c r="K21" s="14"/>
      <c r="L21" s="14"/>
      <c r="M21" s="14"/>
      <c r="N21" s="14"/>
    </row>
    <row r="22" ht="20.05" customHeight="1">
      <c r="A22" t="s" s="20">
        <v>22</v>
      </c>
      <c r="B22" s="32">
        <f>0.085+1.337</f>
        <v>1.422</v>
      </c>
      <c r="C22" s="17"/>
      <c r="D22" s="17"/>
      <c r="E22" s="17"/>
      <c r="F22" s="17">
        <v>5.026</v>
      </c>
      <c r="G22" s="17">
        <f>1.019+4.913</f>
        <v>5.932</v>
      </c>
      <c r="H22" s="17">
        <f>1.212+5.626</f>
        <v>6.838</v>
      </c>
      <c r="I22" s="17">
        <f>1.405+6.341</f>
        <v>7.746</v>
      </c>
      <c r="J22" s="17">
        <f>7.1+1.6</f>
        <v>8.699999999999999</v>
      </c>
      <c r="K22" s="17"/>
      <c r="L22" s="17"/>
      <c r="M22" s="17"/>
      <c r="N22" s="17"/>
    </row>
    <row r="23" ht="20.05" customHeight="1">
      <c r="A23" t="s" s="20">
        <v>21</v>
      </c>
      <c r="B23" s="13">
        <f>B21-B15</f>
        <v>370.475</v>
      </c>
      <c r="C23" s="14">
        <f>C21-C15</f>
        <v>-0.067</v>
      </c>
      <c r="D23" s="14">
        <f>D21-D15</f>
        <v>-0.41</v>
      </c>
      <c r="E23" s="14">
        <f>E21-E15</f>
        <v>-0.277</v>
      </c>
      <c r="F23" s="14">
        <f>F21-F15</f>
        <v>406.727</v>
      </c>
      <c r="G23" s="14">
        <f>G21-G15</f>
        <v>621.472</v>
      </c>
      <c r="H23" s="14">
        <f>H21-H15</f>
        <v>646.768</v>
      </c>
      <c r="I23" s="14">
        <f>I21-I15</f>
        <v>814.264</v>
      </c>
      <c r="J23" s="14">
        <f>J21-J15</f>
        <v>701.931</v>
      </c>
      <c r="K23" s="22"/>
      <c r="L23" s="22"/>
      <c r="M23" s="22"/>
      <c r="N23" s="22"/>
    </row>
    <row r="24" ht="20.05" customHeight="1">
      <c r="A24" t="s" s="20">
        <v>13</v>
      </c>
      <c r="B24" s="13">
        <v>345.405</v>
      </c>
      <c r="C24" s="14"/>
      <c r="D24" s="14"/>
      <c r="E24" s="14"/>
      <c r="F24" s="14">
        <v>27.134</v>
      </c>
      <c r="G24" s="14">
        <v>34.34</v>
      </c>
      <c r="H24" s="17">
        <v>35.35</v>
      </c>
      <c r="I24" s="17">
        <v>168.068</v>
      </c>
      <c r="J24" s="17">
        <v>46.45</v>
      </c>
      <c r="K24" s="22"/>
      <c r="L24" s="22"/>
      <c r="M24" s="22"/>
      <c r="N24" s="22"/>
    </row>
    <row r="25" ht="20.05" customHeight="1">
      <c r="A25" t="s" s="20">
        <v>14</v>
      </c>
      <c r="B25" s="13">
        <v>25.221</v>
      </c>
      <c r="C25" s="14"/>
      <c r="D25" s="14"/>
      <c r="E25" s="14"/>
      <c r="F25" s="14">
        <v>379.864</v>
      </c>
      <c r="G25" s="14">
        <v>591.675</v>
      </c>
      <c r="H25" s="17">
        <v>611.872</v>
      </c>
      <c r="I25" s="17">
        <v>646.776</v>
      </c>
      <c r="J25" s="17">
        <f>I25+J12+J18</f>
        <v>681.8390000000001</v>
      </c>
      <c r="K25" s="22"/>
      <c r="L25" s="22"/>
      <c r="M25" s="22"/>
      <c r="N25" s="22"/>
    </row>
    <row r="26" ht="20.05" customHeight="1">
      <c r="A26" t="s" s="20">
        <v>23</v>
      </c>
      <c r="B26" s="13">
        <f>B24+B25-B15-B23</f>
        <v>0</v>
      </c>
      <c r="C26" s="14">
        <f>C24+C25-C15-C23</f>
        <v>0</v>
      </c>
      <c r="D26" s="14">
        <f>D24+D25-D15-D23</f>
        <v>0</v>
      </c>
      <c r="E26" s="14">
        <f>E24+E25-E15-E23</f>
        <v>0</v>
      </c>
      <c r="F26" s="14">
        <f>F24+F25-F15-F23</f>
        <v>-0.001</v>
      </c>
      <c r="G26" s="14">
        <f>G24+G25-G15-G23</f>
        <v>-0.001</v>
      </c>
      <c r="H26" s="14">
        <f>H24+H25-H15-H23</f>
        <v>0.001</v>
      </c>
      <c r="I26" s="14">
        <f>I24+I25-I15-I23</f>
        <v>-0.04</v>
      </c>
      <c r="J26" s="14">
        <f>J24+J25-J15-J23</f>
        <v>-0.008</v>
      </c>
      <c r="K26" s="22"/>
      <c r="L26" s="22"/>
      <c r="M26" s="22"/>
      <c r="N26" s="22"/>
    </row>
    <row r="27" ht="20.05" customHeight="1">
      <c r="A27" t="s" s="20">
        <v>24</v>
      </c>
      <c r="B27" s="13">
        <f>B15-B24</f>
        <v>-345.254</v>
      </c>
      <c r="C27" s="14">
        <f>C15-C24</f>
        <v>0.067</v>
      </c>
      <c r="D27" s="14">
        <f>D15-D24</f>
        <v>0.41</v>
      </c>
      <c r="E27" s="14">
        <f>E15-E24</f>
        <v>0.277</v>
      </c>
      <c r="F27" s="14">
        <f>F15-F24</f>
        <v>-26.862</v>
      </c>
      <c r="G27" s="14">
        <f>G15-G24</f>
        <v>-29.796</v>
      </c>
      <c r="H27" s="14">
        <f>H15-H24</f>
        <v>-34.897</v>
      </c>
      <c r="I27" s="14">
        <f>I15-I24</f>
        <v>-167.448</v>
      </c>
      <c r="J27" s="14">
        <f>J15-J24</f>
        <v>-20.084</v>
      </c>
      <c r="K27" s="22"/>
      <c r="L27" s="22"/>
      <c r="M27" s="22"/>
      <c r="N27" s="22"/>
    </row>
    <row r="28" ht="20.05" customHeight="1">
      <c r="A28" t="s" s="20">
        <v>31</v>
      </c>
      <c r="B28" s="15"/>
      <c r="C28" s="22"/>
      <c r="D28" s="22"/>
      <c r="E28" s="22"/>
      <c r="F28" s="22"/>
      <c r="G28" s="22"/>
      <c r="H28" s="22"/>
      <c r="I28" s="22"/>
      <c r="J28" s="14">
        <f>J27</f>
        <v>-20.084</v>
      </c>
      <c r="K28" s="17">
        <f>'Model'!E27</f>
        <v>52.6221792161011</v>
      </c>
      <c r="L28" s="22"/>
      <c r="M28" s="22"/>
      <c r="N28" s="22"/>
    </row>
    <row r="29" ht="20.05" customHeight="1">
      <c r="A29" t="s" s="20">
        <v>43</v>
      </c>
      <c r="B29" s="15">
        <f>(B7-B6)/B6</f>
        <v>-0.879758040719976</v>
      </c>
      <c r="C29" s="16">
        <f>(C7-C6)/C6</f>
        <v>-0.924190907946103</v>
      </c>
      <c r="D29" s="16">
        <f>(D7-D6)/D6</f>
        <v>-0.91761038961039</v>
      </c>
      <c r="E29" s="16">
        <f>(E7-E6)/E6</f>
        <v>-0.678720358498786</v>
      </c>
      <c r="F29" s="16">
        <f>(F7-F6)/F6</f>
        <v>-1.16551144717496</v>
      </c>
      <c r="G29" s="16">
        <f>(G7-G6)/G6</f>
        <v>-0.928151271789638</v>
      </c>
      <c r="H29" s="16">
        <f>(H7-H6)/H6</f>
        <v>-1.01657729264774</v>
      </c>
      <c r="I29" s="16">
        <f>(I7-I6)/I6</f>
        <v>-0.401815741341672</v>
      </c>
      <c r="J29" s="16">
        <v>-0.83</v>
      </c>
      <c r="K29" s="22"/>
      <c r="L29" s="22"/>
      <c r="M29" s="22"/>
      <c r="N29" s="22"/>
    </row>
    <row r="30" ht="20.05" customHeight="1">
      <c r="A30" t="s" s="20">
        <v>3</v>
      </c>
      <c r="B30" s="13">
        <f>SUM(B7:B10)/4</f>
        <v>-2.17375</v>
      </c>
      <c r="C30" s="14">
        <f>SUM(C7:C10)/2</f>
        <v>-0.042</v>
      </c>
      <c r="D30" s="14">
        <f>SUM(D7:D10)/2</f>
        <v>0.1715</v>
      </c>
      <c r="E30" s="14">
        <f>SUM(E7:E10)/2</f>
        <v>-3.7615</v>
      </c>
      <c r="F30" s="14">
        <f>SUM(F7:F10)/2</f>
        <v>-0.0025</v>
      </c>
      <c r="G30" s="14">
        <f>SUM(G7:G10)/2</f>
        <v>-93.2925</v>
      </c>
      <c r="H30" s="14">
        <f>SUM(H7:H10)</f>
        <v>-5.139</v>
      </c>
      <c r="I30" s="14">
        <f>SUM(I7:I10)</f>
        <v>0.168</v>
      </c>
      <c r="J30" s="14">
        <f>SUM(J7:J10)</f>
        <v>25.748</v>
      </c>
      <c r="K30" s="14">
        <f>SUM('Model'!E10:E11)</f>
        <v>45.429595312236</v>
      </c>
      <c r="L30" s="14"/>
      <c r="M30" s="14"/>
      <c r="N30" s="14"/>
    </row>
    <row r="31" ht="20.05" customHeight="1">
      <c r="A31" t="s" s="20">
        <v>26</v>
      </c>
      <c r="B31" s="13">
        <f>-(B12+B11)</f>
        <v>-8.846</v>
      </c>
      <c r="C31" s="14">
        <f>-(C11+C12)+B31</f>
        <v>-8.846</v>
      </c>
      <c r="D31" s="14">
        <f>-(D11+D12)+C31</f>
        <v>-8.846</v>
      </c>
      <c r="E31" s="14">
        <f>-(E11+E12)+D31</f>
        <v>-16.236</v>
      </c>
      <c r="F31" s="14">
        <f>-(F11+F12)+E31</f>
        <v>-16.236</v>
      </c>
      <c r="G31" s="14">
        <f>-(G11+G12)+F31</f>
        <v>-207.093</v>
      </c>
      <c r="H31" s="14">
        <f>-(H11+H12)+G31</f>
        <v>-208.141</v>
      </c>
      <c r="I31" s="14">
        <f>-(I11+I12)+H31</f>
        <v>-208.14</v>
      </c>
      <c r="J31" s="14">
        <f>-(J11+J12)+I31</f>
        <v>-208.138</v>
      </c>
      <c r="K31" s="14">
        <f>'Model'!E29</f>
        <v>-122.859636096399</v>
      </c>
      <c r="L31" s="14"/>
      <c r="M31" s="14"/>
      <c r="N31" s="14"/>
    </row>
    <row r="32" ht="20.05" customHeight="1">
      <c r="A32" t="s" s="20">
        <v>44</v>
      </c>
      <c r="B32" s="13"/>
      <c r="C32" s="22"/>
      <c r="D32" s="22"/>
      <c r="E32" s="22"/>
      <c r="F32" s="19">
        <v>182</v>
      </c>
      <c r="G32" s="19">
        <v>494</v>
      </c>
      <c r="H32" s="19">
        <v>472</v>
      </c>
      <c r="I32" s="19">
        <v>1505</v>
      </c>
      <c r="J32" s="19">
        <v>5875</v>
      </c>
      <c r="K32" s="14">
        <v>6475</v>
      </c>
      <c r="L32" s="14"/>
      <c r="M32" s="14"/>
      <c r="N32" s="14"/>
    </row>
    <row r="33" ht="20.05" customHeight="1">
      <c r="A33" t="s" s="20">
        <v>34</v>
      </c>
      <c r="B33" s="13"/>
      <c r="C33" s="14"/>
      <c r="D33" s="14"/>
      <c r="E33" s="14"/>
      <c r="F33" s="14"/>
      <c r="G33" s="14"/>
      <c r="H33" s="14"/>
      <c r="I33" s="14"/>
      <c r="J33" s="14"/>
      <c r="K33" s="14">
        <f>K32</f>
        <v>6475</v>
      </c>
      <c r="L33" s="14">
        <f>'Model'!E39</f>
        <v>3028.899567325160</v>
      </c>
      <c r="M33" s="14"/>
      <c r="N33" s="14"/>
    </row>
    <row r="34" ht="20.05" customHeight="1">
      <c r="A34" t="s" s="20">
        <v>45</v>
      </c>
      <c r="B34" s="13"/>
      <c r="C34" s="14"/>
      <c r="D34" s="14"/>
      <c r="E34" s="14"/>
      <c r="F34" s="14"/>
      <c r="G34" s="14"/>
      <c r="H34" s="14"/>
      <c r="I34" s="14"/>
      <c r="J34" s="14"/>
      <c r="K34" s="14">
        <v>2609.102863423940</v>
      </c>
      <c r="L34" s="14"/>
      <c r="M34" s="14"/>
      <c r="N34" s="14"/>
    </row>
  </sheetData>
  <mergeCells count="1">
    <mergeCell ref="A1:N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