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<sst xmlns="http://schemas.openxmlformats.org/spreadsheetml/2006/main" uniqueCount="44">
  <si>
    <t>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</si>
  <si>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</si>
  <si>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</si>
  <si>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</si>
  <si>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</si>
  <si>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</si>
  <si>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</si>
  <si>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</si>
  <si>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</si>
  <si>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</si>
  <si>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</si>
  <si>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</si>
  <si>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</si>
  <si>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</si>
  <si>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</si>
  <si>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</si>
  <si>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</si>
  <si>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</si>
  <si>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</si>
  <si>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</si>
  <si>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</si>
  <si>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</si>
  <si>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</si>
  <si>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</si>
  <si>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</si>
  <si>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</si>
  <si>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</si>
  <si>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</si>
  <si>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</si>
  <si>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</si>
  <si>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</si>
  <si>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</si>
  <si>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</si>
  <si>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Current </t>
  </si>
  <si>
    <t xml:space="preserve">Target </t>
  </si>
  <si>
    <t xml:space="preserve">V target </t>
  </si>
  <si>
    <t xml:space="preserve">12 month growth </t>
  </si>
  <si>
    <t>Data</t>
  </si>
  <si>
    <t xml:space="preserve">Receipts </t>
  </si>
  <si>
    <t xml:space="preserve">Leases </t>
  </si>
  <si>
    <t xml:space="preserve">Interest </t>
  </si>
  <si>
    <t xml:space="preserve">Assets </t>
  </si>
  <si>
    <t xml:space="preserve">Cashflow costs </t>
  </si>
  <si>
    <t>BEBS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</si>
</sst>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576913</xdr:colOff>
      <xdr:row>1</xdr:row>
      <xdr:rowOff>71588</xdr:rowOff>
    </xdr:from>
    <xdr:to>
      <xdr:col>11</xdr:col>
      <xdr:colOff>1049948</xdr:colOff>
      <xdr:row>41</xdr:row>
      <xdr:rowOff>208523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12313" y="422743"/>
          <a:ext cx="7940636" cy="103274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AVERAGE('Data '!E3:F3)</f>
        <v>0.330016305030063</v>
      </c>
      <c r="C3" s="7"/>
      <c r="D3" s="7"/>
      <c r="E3" s="8">
        <f>AVERAGE(B4:E4)</f>
        <v>0.1425</v>
      </c>
    </row>
    <row r="4" ht="20.05" customHeight="1">
      <c r="A4" t="s" s="9">
        <v>4</v>
      </c>
      <c r="B4" s="10">
        <v>0.25</v>
      </c>
      <c r="C4" s="11">
        <v>-0.03</v>
      </c>
      <c r="D4" s="11">
        <v>0.15</v>
      </c>
      <c r="E4" s="12">
        <v>0.2</v>
      </c>
    </row>
    <row r="5" ht="20.05" customHeight="1">
      <c r="A5" t="s" s="9">
        <v>5</v>
      </c>
      <c r="B5" s="13">
        <f>'Data '!F4*(1+B4)</f>
        <v>190.13875</v>
      </c>
      <c r="C5" s="14">
        <f>B5*(1+C4)</f>
        <v>184.4345875</v>
      </c>
      <c r="D5" s="14">
        <f>C5*(1+D4)</f>
        <v>212.099775625</v>
      </c>
      <c r="E5" s="14">
        <f>D5*(1+E4)</f>
        <v>254.51973075</v>
      </c>
    </row>
    <row r="6" ht="20.05" customHeight="1">
      <c r="A6" t="s" s="9">
        <v>6</v>
      </c>
      <c r="B6" s="15">
        <f>'Data '!F20</f>
        <v>-0.7645732392792109</v>
      </c>
      <c r="C6" s="16">
        <f>B6</f>
        <v>-0.7645732392792109</v>
      </c>
      <c r="D6" s="16">
        <f>C6</f>
        <v>-0.7645732392792109</v>
      </c>
      <c r="E6" s="16">
        <f>D6</f>
        <v>-0.7645732392792109</v>
      </c>
    </row>
    <row r="7" ht="20.05" customHeight="1">
      <c r="A7" t="s" s="9">
        <v>7</v>
      </c>
      <c r="B7" s="13">
        <f>B5*B6</f>
        <v>-145.375</v>
      </c>
      <c r="C7" s="17">
        <f>C5*C6</f>
        <v>-141.01375</v>
      </c>
      <c r="D7" s="17">
        <f>D5*D6</f>
        <v>-162.1658125</v>
      </c>
      <c r="E7" s="17">
        <f>E5*E6</f>
        <v>-194.598975</v>
      </c>
    </row>
    <row r="8" ht="20.05" customHeight="1">
      <c r="A8" t="s" s="9">
        <v>8</v>
      </c>
      <c r="B8" s="13">
        <f>-'Data '!F18</f>
        <v>-0.907</v>
      </c>
      <c r="C8" s="14">
        <f>B8</f>
        <v>-0.907</v>
      </c>
      <c r="D8" s="14">
        <f>C8</f>
        <v>-0.907</v>
      </c>
      <c r="E8" s="14">
        <f>D8</f>
        <v>-0.907</v>
      </c>
    </row>
    <row r="9" ht="20.05" customHeight="1">
      <c r="A9" t="s" s="9">
        <v>9</v>
      </c>
      <c r="B9" s="13">
        <f>B5+B7+B8</f>
        <v>43.85675</v>
      </c>
      <c r="C9" s="17">
        <f>C5+C7+C8</f>
        <v>42.5138375</v>
      </c>
      <c r="D9" s="17">
        <f>D5+D7+D8</f>
        <v>49.026963125</v>
      </c>
      <c r="E9" s="17">
        <f>E5+E7+E8</f>
        <v>59.01375575</v>
      </c>
    </row>
    <row r="10" ht="20.05" customHeight="1">
      <c r="A10" t="s" s="9">
        <v>10</v>
      </c>
      <c r="B10" s="13">
        <f>B5+B7</f>
        <v>44.76375</v>
      </c>
      <c r="C10" s="17">
        <f>C5+C7</f>
        <v>43.4208375</v>
      </c>
      <c r="D10" s="17">
        <f>D5+D7</f>
        <v>49.933963125</v>
      </c>
      <c r="E10" s="17">
        <f>E5+E7</f>
        <v>59.92075575</v>
      </c>
    </row>
    <row r="11" ht="20.05" customHeight="1">
      <c r="A11" t="s" s="9">
        <v>11</v>
      </c>
      <c r="B11" s="13">
        <f>'Data '!E9</f>
        <v>-1.943</v>
      </c>
      <c r="C11" s="14">
        <f>B11</f>
        <v>-1.943</v>
      </c>
      <c r="D11" s="14">
        <f>C11</f>
        <v>-1.943</v>
      </c>
      <c r="E11" s="14">
        <f>D11</f>
        <v>-1.943</v>
      </c>
    </row>
    <row r="12" ht="20.05" customHeight="1">
      <c r="A12" t="s" s="9">
        <v>12</v>
      </c>
      <c r="B12" s="18">
        <f>-'Data '!F25/20</f>
        <v>-8.4034</v>
      </c>
      <c r="C12" s="17">
        <f>-B22/20</f>
        <v>-7.98323</v>
      </c>
      <c r="D12" s="17">
        <f>-C22/20</f>
        <v>-7.5840685</v>
      </c>
      <c r="E12" s="17">
        <f>-D22/20</f>
        <v>-7.204865075</v>
      </c>
    </row>
    <row r="13" ht="20.05" customHeight="1">
      <c r="A13" t="s" s="9">
        <v>13</v>
      </c>
      <c r="B13" s="13">
        <f>IF(B9&gt;0,-B9*0,0)</f>
        <v>0</v>
      </c>
      <c r="C13" s="17">
        <f>IF(C9&gt;0,-C9*0,0)</f>
        <v>0</v>
      </c>
      <c r="D13" s="17">
        <f>IF(D9&gt;0,-D9*0,0)</f>
        <v>0</v>
      </c>
      <c r="E13" s="17">
        <f>IF(E9&gt;0,-E9*0,0)</f>
        <v>0</v>
      </c>
    </row>
    <row r="14" ht="20.05" customHeight="1">
      <c r="A14" t="s" s="9">
        <v>14</v>
      </c>
      <c r="B14" s="18">
        <f>B10+B11+B12+B13</f>
        <v>34.41735</v>
      </c>
      <c r="C14" s="17">
        <f>C10+C11+C12+C13</f>
        <v>33.4946075</v>
      </c>
      <c r="D14" s="17">
        <f>D10+D11+D12+D13</f>
        <v>40.406894625</v>
      </c>
      <c r="E14" s="17">
        <f>E10+E11+E12+E13</f>
        <v>50.772890675</v>
      </c>
    </row>
    <row r="15" ht="20.05" customHeight="1">
      <c r="A15" t="s" s="9">
        <v>15</v>
      </c>
      <c r="B15" s="18">
        <f>-MIN(0,B14)</f>
        <v>0</v>
      </c>
      <c r="C15" s="19">
        <f>-MIN(B23,C14)</f>
        <v>0</v>
      </c>
      <c r="D15" s="19">
        <f>-MIN(C23,D14)</f>
        <v>0</v>
      </c>
      <c r="E15" s="19">
        <f>-MIN(D23,E14)</f>
        <v>0</v>
      </c>
    </row>
    <row r="16" ht="20.05" customHeight="1">
      <c r="A16" t="s" s="9">
        <v>16</v>
      </c>
      <c r="B16" s="13">
        <f>'Data '!F16</f>
        <v>0.621</v>
      </c>
      <c r="C16" s="14">
        <f>B18</f>
        <v>35.03835</v>
      </c>
      <c r="D16" s="14">
        <f>C18</f>
        <v>68.53295749999999</v>
      </c>
      <c r="E16" s="14">
        <f>D18</f>
        <v>108.939852125</v>
      </c>
    </row>
    <row r="17" ht="20.05" customHeight="1">
      <c r="A17" t="s" s="9">
        <v>17</v>
      </c>
      <c r="B17" s="18">
        <f>B10+B11+B12+B13+B15</f>
        <v>34.41735</v>
      </c>
      <c r="C17" s="17">
        <f>C10+C11+C12+C13+C15</f>
        <v>33.4946075</v>
      </c>
      <c r="D17" s="17">
        <f>D10+D11+D12+D13+D15</f>
        <v>40.406894625</v>
      </c>
      <c r="E17" s="17">
        <f>E10+E11+E12+E13+E15</f>
        <v>50.772890675</v>
      </c>
    </row>
    <row r="18" ht="20.05" customHeight="1">
      <c r="A18" t="s" s="9">
        <v>18</v>
      </c>
      <c r="B18" s="13">
        <f>B16+B17</f>
        <v>35.03835</v>
      </c>
      <c r="C18" s="14">
        <f>C16+C17</f>
        <v>68.53295749999999</v>
      </c>
      <c r="D18" s="14">
        <f>D16+D17</f>
        <v>108.939852125</v>
      </c>
      <c r="E18" s="14">
        <f>E16+E17</f>
        <v>159.7127428</v>
      </c>
    </row>
    <row r="19" ht="20.05" customHeight="1">
      <c r="A19" t="s" s="20">
        <v>19</v>
      </c>
      <c r="B19" s="21"/>
      <c r="C19" s="22"/>
      <c r="D19" s="22"/>
      <c r="E19" s="22"/>
    </row>
    <row r="20" ht="20.05" customHeight="1">
      <c r="A20" t="s" s="9">
        <v>20</v>
      </c>
      <c r="B20" s="18">
        <f>'Data '!F24+'Data '!F23-B11</f>
        <v>823.952</v>
      </c>
      <c r="C20" s="14">
        <f>B20-C11</f>
        <v>825.895</v>
      </c>
      <c r="D20" s="14">
        <f>C20-D11</f>
        <v>827.838</v>
      </c>
      <c r="E20" s="14">
        <f>D20-E11</f>
        <v>829.7809999999999</v>
      </c>
    </row>
    <row r="21" ht="20.05" customHeight="1">
      <c r="A21" t="s" s="9">
        <v>21</v>
      </c>
      <c r="B21" s="18">
        <f>'Data '!F23-B8</f>
        <v>8.653</v>
      </c>
      <c r="C21" s="14">
        <f>B21-C8</f>
        <v>9.56</v>
      </c>
      <c r="D21" s="14">
        <f>C21-D8</f>
        <v>10.467</v>
      </c>
      <c r="E21" s="14">
        <f>D21-E8</f>
        <v>11.374</v>
      </c>
    </row>
    <row r="22" ht="20.05" customHeight="1">
      <c r="A22" t="s" s="9">
        <v>12</v>
      </c>
      <c r="B22" s="18">
        <f>'Data '!F25+B12</f>
        <v>159.6646</v>
      </c>
      <c r="C22" s="17">
        <f>B22+C12</f>
        <v>151.68137</v>
      </c>
      <c r="D22" s="17">
        <f>C22+D12</f>
        <v>144.0973015</v>
      </c>
      <c r="E22" s="17">
        <f>D22+E12</f>
        <v>136.892436425</v>
      </c>
    </row>
    <row r="23" ht="20.05" customHeight="1">
      <c r="A23" t="s" s="9">
        <v>15</v>
      </c>
      <c r="B23" s="18">
        <f>B15</f>
        <v>0</v>
      </c>
      <c r="C23" s="19">
        <f>B23+C15</f>
        <v>0</v>
      </c>
      <c r="D23" s="19">
        <f>C23+D15</f>
        <v>0</v>
      </c>
      <c r="E23" s="19">
        <f>D23+E15</f>
        <v>0</v>
      </c>
    </row>
    <row r="24" ht="20.05" customHeight="1">
      <c r="A24" t="s" s="9">
        <v>13</v>
      </c>
      <c r="B24" s="13">
        <f>'Data '!F26+B13+B9</f>
        <v>690.63275</v>
      </c>
      <c r="C24" s="14">
        <f>B24+C13+C9</f>
        <v>733.1465875</v>
      </c>
      <c r="D24" s="14">
        <f>C24+D13+D9</f>
        <v>782.173550625</v>
      </c>
      <c r="E24" s="14">
        <f>D24+E13+E9</f>
        <v>841.187306375</v>
      </c>
    </row>
    <row r="25" ht="20.05" customHeight="1">
      <c r="A25" t="s" s="9">
        <v>22</v>
      </c>
      <c r="B25" s="18">
        <f>B22+B23+B24-B18-(B20-B21)</f>
        <v>-0.04</v>
      </c>
      <c r="C25" s="17">
        <f>C22+C23+C24-C18-(C20-C21)</f>
        <v>-0.04</v>
      </c>
      <c r="D25" s="17">
        <f>D22+D23+D24-D18-(D20-D21)</f>
        <v>-0.04</v>
      </c>
      <c r="E25" s="17">
        <f>E22+E23+E24-E18-(E20-E21)</f>
        <v>-0.04</v>
      </c>
    </row>
    <row r="26" ht="20.05" customHeight="1">
      <c r="A26" t="s" s="9">
        <v>23</v>
      </c>
      <c r="B26" s="18">
        <f>B18-B22-B23</f>
        <v>-124.62625</v>
      </c>
      <c r="C26" s="17">
        <f>C18-C22-C23</f>
        <v>-83.14841250000001</v>
      </c>
      <c r="D26" s="17">
        <f>D18-D22-D23</f>
        <v>-35.157449375</v>
      </c>
      <c r="E26" s="17">
        <f>E18-E22-E23</f>
        <v>22.820306375</v>
      </c>
    </row>
    <row r="27" ht="20.05" customHeight="1">
      <c r="A27" t="s" s="20">
        <v>24</v>
      </c>
      <c r="B27" s="21"/>
      <c r="C27" s="22"/>
      <c r="D27" s="22"/>
      <c r="E27" s="22"/>
    </row>
    <row r="28" ht="20.05" customHeight="1">
      <c r="A28" t="s" s="9">
        <v>25</v>
      </c>
      <c r="B28" s="13">
        <f>'Data '!F32-(B12+B13)</f>
        <v>-199.7366</v>
      </c>
      <c r="C28" s="14">
        <f>B28-(C12+C15+C13)</f>
        <v>-191.75337</v>
      </c>
      <c r="D28" s="14">
        <f>C28-(D12+D15+D13)</f>
        <v>-184.1693015</v>
      </c>
      <c r="E28" s="14">
        <f>D28-(E12+E15+E13)</f>
        <v>-176.964436425</v>
      </c>
    </row>
    <row r="29" ht="20.05" customHeight="1">
      <c r="A29" t="s" s="9">
        <v>26</v>
      </c>
      <c r="B29" s="21"/>
      <c r="C29" s="22"/>
      <c r="D29" s="22"/>
      <c r="E29" s="14">
        <v>52870</v>
      </c>
    </row>
    <row r="30" ht="20.05" customHeight="1">
      <c r="A30" t="s" s="9">
        <v>27</v>
      </c>
      <c r="B30" s="21"/>
      <c r="C30" s="22"/>
      <c r="D30" s="22"/>
      <c r="E30" s="23">
        <f>E29/(E18+E20-E21)</f>
        <v>54.052686687064</v>
      </c>
    </row>
    <row r="31" ht="20.05" customHeight="1">
      <c r="A31" t="s" s="9">
        <v>28</v>
      </c>
      <c r="B31" s="21"/>
      <c r="C31" s="22"/>
      <c r="D31" s="22"/>
      <c r="E31" s="16">
        <f>-(B13+C13+D13+E13)/E29</f>
        <v>0</v>
      </c>
    </row>
    <row r="32" ht="20.05" customHeight="1">
      <c r="A32" t="s" s="9">
        <v>3</v>
      </c>
      <c r="B32" s="21"/>
      <c r="C32" s="22"/>
      <c r="D32" s="22"/>
      <c r="E32" s="14">
        <f>SUM(E10:E11)*4</f>
        <v>231.911023</v>
      </c>
    </row>
    <row r="33" ht="20.05" customHeight="1">
      <c r="A33" t="s" s="9">
        <v>29</v>
      </c>
      <c r="B33" s="21"/>
      <c r="C33" s="22"/>
      <c r="D33" s="22"/>
      <c r="E33" s="24">
        <f>'Data '!F24/E32</f>
        <v>3.51110089320765</v>
      </c>
    </row>
    <row r="34" ht="20.05" customHeight="1">
      <c r="A34" t="s" s="9">
        <v>24</v>
      </c>
      <c r="B34" s="21"/>
      <c r="C34" s="22"/>
      <c r="D34" s="22"/>
      <c r="E34" s="14">
        <f>E29/E32</f>
        <v>227.975364500031</v>
      </c>
    </row>
    <row r="35" ht="20.05" customHeight="1">
      <c r="A35" t="s" s="9">
        <v>30</v>
      </c>
      <c r="B35" s="21"/>
      <c r="C35" s="22"/>
      <c r="D35" s="22"/>
      <c r="E35" s="19">
        <v>150</v>
      </c>
    </row>
    <row r="36" ht="20.05" customHeight="1">
      <c r="A36" t="s" s="9">
        <v>31</v>
      </c>
      <c r="B36" s="21"/>
      <c r="C36" s="22"/>
      <c r="D36" s="22"/>
      <c r="E36" s="17">
        <f>E32*E35</f>
        <v>34786.65345</v>
      </c>
    </row>
    <row r="37" ht="20.05" customHeight="1">
      <c r="A37" t="s" s="9">
        <v>32</v>
      </c>
      <c r="B37" s="21"/>
      <c r="C37" s="22"/>
      <c r="D37" s="22"/>
      <c r="E37" s="14">
        <f>E29/E38</f>
        <v>8.99914893617021</v>
      </c>
    </row>
    <row r="38" ht="20.05" customHeight="1">
      <c r="A38" t="s" s="9">
        <v>33</v>
      </c>
      <c r="B38" s="21"/>
      <c r="C38" s="22"/>
      <c r="D38" s="22"/>
      <c r="E38" s="14">
        <f>'Data '!G33</f>
        <v>5875</v>
      </c>
    </row>
    <row r="39" ht="20.05" customHeight="1">
      <c r="A39" t="s" s="9">
        <v>34</v>
      </c>
      <c r="B39" s="21"/>
      <c r="C39" s="22"/>
      <c r="D39" s="22"/>
      <c r="E39" s="14">
        <f>E36/E37</f>
        <v>3865.549253239080</v>
      </c>
    </row>
    <row r="40" ht="20.05" customHeight="1">
      <c r="A40" t="s" s="9">
        <v>35</v>
      </c>
      <c r="B40" s="21"/>
      <c r="C40" s="22"/>
      <c r="D40" s="22"/>
      <c r="E40" s="16">
        <f>E39/E38-1</f>
        <v>-0.342034169661433</v>
      </c>
    </row>
    <row r="41" ht="20.05" customHeight="1">
      <c r="A41" t="s" s="9">
        <v>36</v>
      </c>
      <c r="B41" s="21"/>
      <c r="C41" s="22"/>
      <c r="D41" s="22"/>
      <c r="E41" s="16">
        <f>'Data '!F4/29.53-1</f>
        <v>4.15106671181849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5" customWidth="1"/>
    <col min="2" max="10" width="9.875" style="25" customWidth="1"/>
    <col min="11" max="16384" width="16.3516" style="25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26">
        <v>1</v>
      </c>
      <c r="B2" s="27">
        <v>2019</v>
      </c>
      <c r="C2" s="27">
        <v>2020</v>
      </c>
      <c r="D2" s="27">
        <v>2021</v>
      </c>
      <c r="E2" s="28"/>
      <c r="F2" s="4"/>
      <c r="G2" s="28"/>
      <c r="H2" s="27">
        <v>2022</v>
      </c>
      <c r="I2" s="28"/>
      <c r="J2" s="28"/>
    </row>
    <row r="3" ht="20.25" customHeight="1">
      <c r="A3" t="s" s="5">
        <v>4</v>
      </c>
      <c r="B3" s="29"/>
      <c r="C3" s="30">
        <f>(C4/B4-1)/4</f>
        <v>1.62444120834462</v>
      </c>
      <c r="D3" s="30">
        <f>(D4/27.99-1)/4</f>
        <v>0.6164880314398</v>
      </c>
      <c r="E3" s="30">
        <f>E5/D5-1</f>
        <v>-0.118294643961572</v>
      </c>
      <c r="F3" s="30">
        <f>F5/E5-1</f>
        <v>0.778327254021698</v>
      </c>
      <c r="G3" s="30"/>
      <c r="H3" s="7"/>
      <c r="I3" s="30"/>
      <c r="J3" s="30"/>
    </row>
    <row r="4" ht="20.05" customHeight="1">
      <c r="A4" t="s" s="20">
        <v>5</v>
      </c>
      <c r="B4" s="13">
        <v>14.764</v>
      </c>
      <c r="C4" s="14">
        <v>110.697</v>
      </c>
      <c r="D4" s="14">
        <v>97.012</v>
      </c>
      <c r="E4" s="14">
        <f>182.548-D4</f>
        <v>85.536</v>
      </c>
      <c r="F4" s="14">
        <f>334.659-E4-D4</f>
        <v>152.111</v>
      </c>
      <c r="G4" s="22"/>
      <c r="H4" s="22"/>
      <c r="I4" s="22"/>
      <c r="J4" s="14"/>
    </row>
    <row r="5" ht="20.05" customHeight="1">
      <c r="A5" t="s" s="20">
        <v>5</v>
      </c>
      <c r="B5" s="13">
        <f>B4/4</f>
        <v>3.691</v>
      </c>
      <c r="C5" s="14">
        <f>C4/4</f>
        <v>27.67425</v>
      </c>
      <c r="D5" s="14">
        <f>D4</f>
        <v>97.012</v>
      </c>
      <c r="E5" s="14">
        <f>E4</f>
        <v>85.536</v>
      </c>
      <c r="F5" s="14">
        <f>F4</f>
        <v>152.111</v>
      </c>
      <c r="G5" s="14"/>
      <c r="H5" s="14"/>
      <c r="I5" s="14"/>
      <c r="J5" s="14"/>
    </row>
    <row r="6" ht="20.05" customHeight="1">
      <c r="A6" t="s" s="20">
        <v>30</v>
      </c>
      <c r="B6" s="13"/>
      <c r="C6" s="14"/>
      <c r="D6" s="14"/>
      <c r="E6" s="22"/>
      <c r="F6" s="22"/>
      <c r="G6" s="14">
        <f>'Model'!B5</f>
        <v>190.13875</v>
      </c>
      <c r="H6" s="14">
        <f>'Model'!C5</f>
        <v>184.4345875</v>
      </c>
      <c r="I6" s="14">
        <f>'Model'!D5</f>
        <v>212.099775625</v>
      </c>
      <c r="J6" s="14">
        <f>'Model'!E5</f>
        <v>254.51973075</v>
      </c>
    </row>
    <row r="7" ht="20.05" customHeight="1">
      <c r="A7" t="s" s="20">
        <v>38</v>
      </c>
      <c r="B7" s="13">
        <v>13.556</v>
      </c>
      <c r="C7" s="14">
        <v>103.875</v>
      </c>
      <c r="D7" s="14">
        <v>74.462</v>
      </c>
      <c r="E7" s="14">
        <f>147.936-D7</f>
        <v>73.474</v>
      </c>
      <c r="F7" s="14">
        <f>419.12-E7-D7</f>
        <v>271.184</v>
      </c>
      <c r="G7" s="14"/>
      <c r="H7" s="14"/>
      <c r="I7" s="14"/>
      <c r="J7" s="14"/>
    </row>
    <row r="8" ht="20.05" customHeight="1">
      <c r="A8" t="s" s="20">
        <v>10</v>
      </c>
      <c r="B8" s="13">
        <v>1.63</v>
      </c>
      <c r="C8" s="14">
        <v>11.357</v>
      </c>
      <c r="D8" s="14">
        <v>5.35</v>
      </c>
      <c r="E8" s="14">
        <f>4.132-D8</f>
        <v>-1.218</v>
      </c>
      <c r="F8" s="14">
        <f>166.35-E8-D8</f>
        <v>162.218</v>
      </c>
      <c r="G8" s="14"/>
      <c r="H8" s="14"/>
      <c r="I8" s="14"/>
      <c r="J8" s="14"/>
    </row>
    <row r="9" ht="20.05" customHeight="1">
      <c r="A9" t="s" s="20">
        <v>11</v>
      </c>
      <c r="B9" s="13">
        <v>-7.325</v>
      </c>
      <c r="C9" s="14">
        <v>-11.525</v>
      </c>
      <c r="D9" s="14">
        <v>-190.018</v>
      </c>
      <c r="E9" s="14">
        <f>-191.961-D9</f>
        <v>-1.943</v>
      </c>
      <c r="F9" s="14">
        <f>-351.97-E9-D9</f>
        <v>-160.009</v>
      </c>
      <c r="G9" s="14"/>
      <c r="H9" s="14"/>
      <c r="I9" s="14"/>
      <c r="J9" s="14"/>
    </row>
    <row r="10" ht="20.05" customHeight="1">
      <c r="A10" t="s" s="20">
        <v>39</v>
      </c>
      <c r="B10" s="13">
        <v>-3</v>
      </c>
      <c r="C10" s="14">
        <v>-7.1</v>
      </c>
      <c r="D10" s="14">
        <v>-1.917</v>
      </c>
      <c r="E10" s="14">
        <f>-3.895-D10</f>
        <v>-1.978</v>
      </c>
      <c r="F10" s="14">
        <f>-5.936-E10-D10</f>
        <v>-2.041</v>
      </c>
      <c r="G10" s="14"/>
      <c r="H10" s="14"/>
      <c r="I10" s="14"/>
      <c r="J10" s="14"/>
    </row>
    <row r="11" ht="20.05" customHeight="1">
      <c r="A11" t="s" s="20">
        <v>40</v>
      </c>
      <c r="B11" s="13"/>
      <c r="C11" s="14"/>
      <c r="D11" s="14"/>
      <c r="E11" s="14"/>
      <c r="F11" s="14"/>
      <c r="G11" s="14"/>
      <c r="H11" s="14"/>
      <c r="I11" s="14"/>
      <c r="J11" s="14"/>
    </row>
    <row r="12" ht="20.05" customHeight="1">
      <c r="A12" t="s" s="20">
        <v>12</v>
      </c>
      <c r="B12" s="13"/>
      <c r="C12" s="14"/>
      <c r="D12" s="14"/>
      <c r="E12" s="14"/>
      <c r="F12" s="14"/>
      <c r="G12" s="14"/>
      <c r="H12" s="14"/>
      <c r="I12" s="14"/>
      <c r="J12" s="14"/>
    </row>
    <row r="13" ht="20.05" customHeight="1">
      <c r="A13" t="s" s="20">
        <v>13</v>
      </c>
      <c r="B13" s="13">
        <v>8.846</v>
      </c>
      <c r="C13" s="14">
        <v>7.39</v>
      </c>
      <c r="D13" s="14">
        <v>190.857</v>
      </c>
      <c r="E13" s="14">
        <f>191.905-D13</f>
        <v>1.048</v>
      </c>
      <c r="F13" s="14">
        <f>191.904-E13-D13</f>
        <v>-0.001</v>
      </c>
      <c r="G13" s="14"/>
      <c r="H13" s="14"/>
      <c r="I13" s="14"/>
      <c r="J13" s="14"/>
    </row>
    <row r="14" ht="20.05" customHeight="1">
      <c r="A14" t="s" s="20">
        <v>16</v>
      </c>
      <c r="B14" s="13">
        <f>0</f>
        <v>0</v>
      </c>
      <c r="C14" s="14">
        <f>B16</f>
        <v>0.151</v>
      </c>
      <c r="D14" s="14">
        <f>C16</f>
        <v>0.273</v>
      </c>
      <c r="E14" s="14">
        <f>D16</f>
        <v>4.545</v>
      </c>
      <c r="F14" s="14">
        <f>E16</f>
        <v>0.454</v>
      </c>
      <c r="G14" s="14"/>
      <c r="H14" s="14"/>
      <c r="I14" s="14"/>
      <c r="J14" s="14"/>
    </row>
    <row r="15" ht="20.05" customHeight="1">
      <c r="A15" t="s" s="20">
        <v>17</v>
      </c>
      <c r="B15" s="13">
        <f>B8+B9+B10+B11+B12+B13</f>
        <v>0.151</v>
      </c>
      <c r="C15" s="14">
        <f>C8+C9+C10+C11+C12+C13</f>
        <v>0.122</v>
      </c>
      <c r="D15" s="14">
        <f>D8+D9+D10+D11+D12+D13</f>
        <v>4.272</v>
      </c>
      <c r="E15" s="14">
        <f>E8+E9+E10+E11+E12+E13</f>
        <v>-4.091</v>
      </c>
      <c r="F15" s="14">
        <f>F8+F9+F10+F11+F12+F13</f>
        <v>0.167</v>
      </c>
      <c r="G15" s="22"/>
      <c r="H15" s="22"/>
      <c r="I15" s="22"/>
      <c r="J15" s="22"/>
    </row>
    <row r="16" ht="20.05" customHeight="1">
      <c r="A16" t="s" s="20">
        <v>18</v>
      </c>
      <c r="B16" s="13">
        <f>B14+B15</f>
        <v>0.151</v>
      </c>
      <c r="C16" s="14">
        <f>C14+C15</f>
        <v>0.273</v>
      </c>
      <c r="D16" s="14">
        <f>D14+D15</f>
        <v>4.545</v>
      </c>
      <c r="E16" s="14">
        <f>E14+E15</f>
        <v>0.454</v>
      </c>
      <c r="F16" s="14">
        <f>F14+F15</f>
        <v>0.621</v>
      </c>
      <c r="G16" s="22"/>
      <c r="H16" s="22"/>
      <c r="I16" s="22"/>
      <c r="J16" s="22"/>
    </row>
    <row r="17" ht="20.05" customHeight="1">
      <c r="A17" s="31"/>
      <c r="B17" s="13"/>
      <c r="C17" s="14"/>
      <c r="D17" s="14"/>
      <c r="E17" s="14"/>
      <c r="F17" s="22"/>
      <c r="G17" s="22"/>
      <c r="H17" s="22"/>
      <c r="I17" s="22"/>
      <c r="J17" s="22"/>
    </row>
    <row r="18" ht="20.05" customHeight="1">
      <c r="A18" t="s" s="20">
        <v>8</v>
      </c>
      <c r="B18" s="32">
        <f>0.054+1.337+0.031</f>
        <v>1.422</v>
      </c>
      <c r="C18" s="17">
        <f>0.658+2.859+0.086</f>
        <v>3.603</v>
      </c>
      <c r="D18" s="17">
        <v>0.907</v>
      </c>
      <c r="E18" s="17">
        <v>0.907</v>
      </c>
      <c r="F18" s="14">
        <v>0.907</v>
      </c>
      <c r="G18" s="14"/>
      <c r="H18" s="14"/>
      <c r="I18" s="14"/>
      <c r="J18" s="14"/>
    </row>
    <row r="19" ht="20.05" customHeight="1">
      <c r="A19" t="s" s="20">
        <v>9</v>
      </c>
      <c r="B19" s="13">
        <v>0.221</v>
      </c>
      <c r="C19" s="14">
        <v>20.791</v>
      </c>
      <c r="D19" s="14">
        <v>20.954</v>
      </c>
      <c r="E19" s="14">
        <f>40.102-D19</f>
        <v>19.148</v>
      </c>
      <c r="F19" s="14">
        <f>75.006-E19-D19</f>
        <v>34.904</v>
      </c>
      <c r="G19" s="14"/>
      <c r="H19" s="14"/>
      <c r="I19" s="14"/>
      <c r="J19" s="14"/>
    </row>
    <row r="20" ht="20.05" customHeight="1">
      <c r="A20" t="s" s="20">
        <v>6</v>
      </c>
      <c r="B20" s="15">
        <f>(B18+B19-B4)/B4</f>
        <v>-0.888715795177459</v>
      </c>
      <c r="C20" s="16">
        <f>(C18+C19-C4)/C4</f>
        <v>-0.7796326910395041</v>
      </c>
      <c r="D20" s="16">
        <f>(D19+D18-D4)/D4</f>
        <v>-0.7746567434956499</v>
      </c>
      <c r="E20" s="16">
        <f>(E19+E18-E4)/E4</f>
        <v>-0.765537317620651</v>
      </c>
      <c r="F20" s="16">
        <f>(F19+F18-F4)/F4</f>
        <v>-0.7645732392792109</v>
      </c>
      <c r="G20" s="16">
        <f>'Model'!B6</f>
        <v>-0.7645732392792109</v>
      </c>
      <c r="H20" s="16"/>
      <c r="I20" s="16"/>
      <c r="J20" s="16"/>
    </row>
    <row r="21" ht="20.05" customHeight="1">
      <c r="A21" s="31"/>
      <c r="B21" s="13"/>
      <c r="C21" s="14"/>
      <c r="D21" s="14"/>
      <c r="E21" s="14"/>
      <c r="F21" s="14"/>
      <c r="G21" s="14"/>
      <c r="H21" s="14"/>
      <c r="I21" s="14"/>
      <c r="J21" s="14"/>
    </row>
    <row r="22" ht="20.05" customHeight="1">
      <c r="A22" t="s" s="20">
        <v>41</v>
      </c>
      <c r="B22" s="13">
        <v>370.626</v>
      </c>
      <c r="C22" s="14">
        <v>406.999</v>
      </c>
      <c r="D22" s="14">
        <v>626.016</v>
      </c>
      <c r="E22" s="14">
        <v>647.221</v>
      </c>
      <c r="F22" s="14">
        <v>814.884</v>
      </c>
      <c r="G22" s="14"/>
      <c r="H22" s="14"/>
      <c r="I22" s="14"/>
      <c r="J22" s="14"/>
    </row>
    <row r="23" ht="20.05" customHeight="1">
      <c r="A23" t="s" s="20">
        <v>21</v>
      </c>
      <c r="B23" s="32">
        <f>0.085+1.337</f>
        <v>1.422</v>
      </c>
      <c r="C23" s="17">
        <f>0.829+4.197</f>
        <v>5.026</v>
      </c>
      <c r="D23" s="17">
        <f>1.019+4.913</f>
        <v>5.932</v>
      </c>
      <c r="E23" s="17">
        <f>1.212+5.626</f>
        <v>6.838</v>
      </c>
      <c r="F23" s="17">
        <f>1.405+6.341</f>
        <v>7.746</v>
      </c>
      <c r="G23" s="17"/>
      <c r="H23" s="17"/>
      <c r="I23" s="17"/>
      <c r="J23" s="17"/>
    </row>
    <row r="24" ht="20.05" customHeight="1">
      <c r="A24" t="s" s="20">
        <v>20</v>
      </c>
      <c r="B24" s="13">
        <f>B22-B16</f>
        <v>370.475</v>
      </c>
      <c r="C24" s="14">
        <f>C22-C16</f>
        <v>406.726</v>
      </c>
      <c r="D24" s="14">
        <f>D22-D16</f>
        <v>621.471</v>
      </c>
      <c r="E24" s="14">
        <f>E22-E16</f>
        <v>646.7670000000001</v>
      </c>
      <c r="F24" s="14">
        <f>F22-F16</f>
        <v>814.263</v>
      </c>
      <c r="G24" s="22"/>
      <c r="H24" s="22"/>
      <c r="I24" s="22"/>
      <c r="J24" s="22"/>
    </row>
    <row r="25" ht="20.05" customHeight="1">
      <c r="A25" t="s" s="20">
        <v>12</v>
      </c>
      <c r="B25" s="13">
        <v>345.405</v>
      </c>
      <c r="C25" s="14">
        <v>27.134</v>
      </c>
      <c r="D25" s="14">
        <v>34.34</v>
      </c>
      <c r="E25" s="17">
        <v>35.35</v>
      </c>
      <c r="F25" s="17">
        <v>168.068</v>
      </c>
      <c r="G25" s="22"/>
      <c r="H25" s="22"/>
      <c r="I25" s="22"/>
      <c r="J25" s="22"/>
    </row>
    <row r="26" ht="20.05" customHeight="1">
      <c r="A26" t="s" s="20">
        <v>13</v>
      </c>
      <c r="B26" s="13">
        <v>25.221</v>
      </c>
      <c r="C26" s="14">
        <v>379.864</v>
      </c>
      <c r="D26" s="14">
        <v>591.675</v>
      </c>
      <c r="E26" s="17">
        <v>611.872</v>
      </c>
      <c r="F26" s="17">
        <v>646.776</v>
      </c>
      <c r="G26" s="22"/>
      <c r="H26" s="22"/>
      <c r="I26" s="22"/>
      <c r="J26" s="22"/>
    </row>
    <row r="27" ht="20.05" customHeight="1">
      <c r="A27" t="s" s="20">
        <v>22</v>
      </c>
      <c r="B27" s="13">
        <f>B25+B26-B16-B24</f>
        <v>0</v>
      </c>
      <c r="C27" s="14">
        <f>C25+C26-C16-C24</f>
        <v>-0.001</v>
      </c>
      <c r="D27" s="14">
        <f>D25+D26-D16-D24</f>
        <v>-0.001</v>
      </c>
      <c r="E27" s="14">
        <f>E25+E26-E16-E24</f>
        <v>0.001</v>
      </c>
      <c r="F27" s="14">
        <f>F25+F26-F16-F24</f>
        <v>-0.04</v>
      </c>
      <c r="G27" s="22"/>
      <c r="H27" s="22"/>
      <c r="I27" s="22"/>
      <c r="J27" s="22"/>
    </row>
    <row r="28" ht="20.05" customHeight="1">
      <c r="A28" t="s" s="20">
        <v>23</v>
      </c>
      <c r="B28" s="13">
        <f>B16-B25</f>
        <v>-345.254</v>
      </c>
      <c r="C28" s="14">
        <f>C16-C25</f>
        <v>-26.861</v>
      </c>
      <c r="D28" s="14">
        <f>D16-D25</f>
        <v>-29.795</v>
      </c>
      <c r="E28" s="14">
        <f>E16-E25</f>
        <v>-34.896</v>
      </c>
      <c r="F28" s="14">
        <f>F16-F25</f>
        <v>-167.447</v>
      </c>
      <c r="G28" s="22"/>
      <c r="H28" s="22"/>
      <c r="I28" s="22"/>
      <c r="J28" s="22"/>
    </row>
    <row r="29" ht="20.05" customHeight="1">
      <c r="A29" t="s" s="20">
        <v>30</v>
      </c>
      <c r="B29" s="15"/>
      <c r="C29" s="16"/>
      <c r="D29" s="22"/>
      <c r="E29" s="22"/>
      <c r="F29" s="14">
        <f>F28</f>
        <v>-167.447</v>
      </c>
      <c r="G29" s="17">
        <f>'Model'!E26</f>
        <v>22.820306375</v>
      </c>
      <c r="H29" s="22"/>
      <c r="I29" s="22"/>
      <c r="J29" s="22"/>
    </row>
    <row r="30" ht="20.05" customHeight="1">
      <c r="A30" t="s" s="20">
        <v>42</v>
      </c>
      <c r="B30" s="15">
        <f>(B8-B7)/B7</f>
        <v>-0.879758040719976</v>
      </c>
      <c r="C30" s="16">
        <f>(C8-C7)/C7</f>
        <v>-0.8906666666666671</v>
      </c>
      <c r="D30" s="16">
        <f>(D8-D7)/D7</f>
        <v>-0.928151271789638</v>
      </c>
      <c r="E30" s="16">
        <f>(E8-E7)/E7</f>
        <v>-1.01657729264774</v>
      </c>
      <c r="F30" s="16">
        <f>(F8-F7)/F7</f>
        <v>-0.401815741341672</v>
      </c>
      <c r="G30" s="22"/>
      <c r="H30" s="22"/>
      <c r="I30" s="22"/>
      <c r="J30" s="22"/>
    </row>
    <row r="31" ht="20.05" customHeight="1">
      <c r="A31" t="s" s="20">
        <v>3</v>
      </c>
      <c r="B31" s="13">
        <f>SUM(B8:B11)/4</f>
        <v>-2.17375</v>
      </c>
      <c r="C31" s="14">
        <f>SUM(C8:C11)/4</f>
        <v>-1.817</v>
      </c>
      <c r="D31" s="14">
        <f>SUM(D8:D11)/2</f>
        <v>-93.2925</v>
      </c>
      <c r="E31" s="14">
        <f>SUM(E8:E11)</f>
        <v>-5.139</v>
      </c>
      <c r="F31" s="14">
        <f>SUM(F8:F11)</f>
        <v>0.168</v>
      </c>
      <c r="G31" s="14">
        <f>SUM('Model'!E10:E11)</f>
        <v>57.97775575</v>
      </c>
      <c r="H31" s="14"/>
      <c r="I31" s="14"/>
      <c r="J31" s="14"/>
    </row>
    <row r="32" ht="20.05" customHeight="1">
      <c r="A32" t="s" s="20">
        <v>25</v>
      </c>
      <c r="B32" s="13">
        <f>-(B13+B12)</f>
        <v>-8.846</v>
      </c>
      <c r="C32" s="14">
        <f>-(C12+C13)+B32</f>
        <v>-16.236</v>
      </c>
      <c r="D32" s="14">
        <f>-(D12+D13)+C32</f>
        <v>-207.093</v>
      </c>
      <c r="E32" s="14">
        <f>-(E12+E13)+D32</f>
        <v>-208.141</v>
      </c>
      <c r="F32" s="14">
        <f>-(F12+F13)+E32</f>
        <v>-208.14</v>
      </c>
      <c r="G32" s="14">
        <f>'Model'!E28</f>
        <v>-176.964436425</v>
      </c>
      <c r="H32" s="14"/>
      <c r="I32" s="14"/>
      <c r="J32" s="14"/>
    </row>
    <row r="33" ht="20.05" customHeight="1">
      <c r="A33" t="s" s="20">
        <v>43</v>
      </c>
      <c r="B33" s="13"/>
      <c r="C33" s="19">
        <v>182</v>
      </c>
      <c r="D33" s="19">
        <v>494</v>
      </c>
      <c r="E33" s="19">
        <v>472</v>
      </c>
      <c r="F33" s="19">
        <v>1505</v>
      </c>
      <c r="G33" s="19">
        <v>5875</v>
      </c>
      <c r="H33" s="14"/>
      <c r="I33" s="14"/>
      <c r="J33" s="14"/>
    </row>
    <row r="34" ht="20.05" customHeight="1">
      <c r="A34" t="s" s="20">
        <v>34</v>
      </c>
      <c r="B34" s="13"/>
      <c r="C34" s="14"/>
      <c r="D34" s="14"/>
      <c r="E34" s="14"/>
      <c r="F34" s="14"/>
      <c r="G34" s="14">
        <f>G33</f>
        <v>5875</v>
      </c>
      <c r="H34" s="14">
        <f>'Model'!E39</f>
        <v>3865.549253239080</v>
      </c>
      <c r="I34" s="14"/>
      <c r="J34" s="14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