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<sst xmlns="http://schemas.openxmlformats.org/spreadsheetml/2006/main" uniqueCount="65">
  <si>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</si>
  <si>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</si>
  <si>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</si>
  <si>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</si>
  <si>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</si>
  <si>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</si>
  <si>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</si>
  <si>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</si>
  <si>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</si>
  <si>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</si>
  <si>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</si>
  <si>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</si>
  <si>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</si>
  <si>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</si>
  <si>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</si>
  <si>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</si>
  <si>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</si>
  <si>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</si>
  <si>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</si>
  <si>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</si>
  <si>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</si>
  <si>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</si>
  <si>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</si>
  <si>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</si>
  <si>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</si>
  <si>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</si>
  <si>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</si>
  <si>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</si>
  <si>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</si>
  <si>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</si>
  <si>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</si>
  <si>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</si>
  <si>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</si>
  <si>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</si>
  <si>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</si>
  <si>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</si>
  <si>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</si>
  <si>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</si>
  <si>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</si>
  <si>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</si>
  <si>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Profit quarterly</t>
  </si>
  <si>
    <t>Forecast</t>
  </si>
  <si>
    <t>Others</t>
  </si>
  <si>
    <t xml:space="preserve">Impairment losses </t>
  </si>
  <si>
    <t xml:space="preserve">Depreciation &amp; amortization </t>
  </si>
  <si>
    <t xml:space="preserve">Net income </t>
  </si>
  <si>
    <t>Receipts to assets ratio</t>
  </si>
  <si>
    <t xml:space="preserve">Receipts growth </t>
  </si>
  <si>
    <t xml:space="preserve">Cost ratio </t>
  </si>
  <si>
    <t>Cashflow costs</t>
  </si>
  <si>
    <t>Cashflow</t>
  </si>
  <si>
    <t>Capex</t>
  </si>
  <si>
    <t>Receipts</t>
  </si>
  <si>
    <t>Interest revenue</t>
  </si>
  <si>
    <t xml:space="preserve">Operating </t>
  </si>
  <si>
    <t xml:space="preserve">Investing </t>
  </si>
  <si>
    <t xml:space="preserve">Free cashflow </t>
  </si>
  <si>
    <t xml:space="preserve">  Cash</t>
  </si>
  <si>
    <t>Assets</t>
  </si>
  <si>
    <t>Depreciation &amp; provisions</t>
  </si>
  <si>
    <t xml:space="preserve">Other assets growth </t>
  </si>
  <si>
    <t>Liabilities growth</t>
  </si>
  <si>
    <t>Share price</t>
  </si>
  <si>
    <t>BDMN</t>
  </si>
  <si>
    <t>Target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</si>
</sst>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%_);[Red]\(0%\)"/>
    <numFmt numFmtId="60" formatCode="#,##0%"/>
    <numFmt numFmtId="61" formatCode="#,##0.0%_);[Red]\(#,##0.0%\)"/>
    <numFmt numFmtId="62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vertical="center" wrapText="1" readingOrder="1"/>
    </xf>
    <xf numFmtId="1" fontId="0" borderId="4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580242</xdr:colOff>
      <xdr:row>1</xdr:row>
      <xdr:rowOff>257899</xdr:rowOff>
    </xdr:from>
    <xdr:to>
      <xdr:col>13</xdr:col>
      <xdr:colOff>171263</xdr:colOff>
      <xdr:row>44</xdr:row>
      <xdr:rowOff>84146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74542" y="485229"/>
          <a:ext cx="8303222" cy="108993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4766" style="1" customWidth="1"/>
    <col min="2" max="2" width="15.6641" style="1" customWidth="1"/>
    <col min="3" max="6" width="8.4375" style="1" customWidth="1"/>
    <col min="7" max="16384" width="16.3516" style="1" customWidth="1"/>
  </cols>
  <sheetData>
    <row r="1" ht="17.9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3">
        <v>2</v>
      </c>
      <c r="D3" s="4"/>
      <c r="E3" s="4"/>
      <c r="F3" s="4"/>
    </row>
    <row r="4" ht="20.3" customHeight="1">
      <c r="B4" t="s" s="5">
        <v>3</v>
      </c>
      <c r="C4" s="6">
        <f>AVERAGE('Sales'!J23:J26)</f>
        <v>0.217883860199159</v>
      </c>
      <c r="D4" s="7"/>
      <c r="E4" s="7"/>
      <c r="F4" s="7">
        <f>AVERAGE(C5:F5)</f>
        <v>0.025</v>
      </c>
    </row>
    <row r="5" ht="20.1" customHeight="1">
      <c r="B5" t="s" s="8">
        <v>4</v>
      </c>
      <c r="C5" s="9">
        <v>0.04</v>
      </c>
      <c r="D5" s="10">
        <v>-0.01</v>
      </c>
      <c r="E5" s="10">
        <v>0.03</v>
      </c>
      <c r="F5" s="10">
        <v>0.04</v>
      </c>
    </row>
    <row r="6" ht="20.1" customHeight="1">
      <c r="B6" t="s" s="8">
        <v>5</v>
      </c>
      <c r="C6" s="11">
        <f>'Cashflow '!E30*(1+C5)</f>
        <v>18893.888</v>
      </c>
      <c r="D6" s="12">
        <f>C6*(1+D5)</f>
        <v>18704.94912</v>
      </c>
      <c r="E6" s="12">
        <f>D6*(1+E5)</f>
        <v>19266.0975936</v>
      </c>
      <c r="F6" s="12">
        <f>E6*(1+F5)</f>
        <v>20036.741497344</v>
      </c>
    </row>
    <row r="7" ht="20.1" customHeight="1">
      <c r="B7" t="s" s="8">
        <v>6</v>
      </c>
      <c r="C7" s="13">
        <f>AVERAGE('Sales'!L26)</f>
        <v>-0.655400942357656</v>
      </c>
      <c r="D7" s="14">
        <f>C7</f>
        <v>-0.655400942357656</v>
      </c>
      <c r="E7" s="14">
        <f>D7</f>
        <v>-0.655400942357656</v>
      </c>
      <c r="F7" s="14">
        <f>E7</f>
        <v>-0.655400942357656</v>
      </c>
    </row>
    <row r="8" ht="20.1" customHeight="1">
      <c r="B8" t="s" s="8">
        <v>7</v>
      </c>
      <c r="C8" s="15">
        <f>C7*C6</f>
        <v>-12383.072</v>
      </c>
      <c r="D8" s="16">
        <f>D7*D6</f>
        <v>-12259.24128</v>
      </c>
      <c r="E8" s="16">
        <f>E7*E6</f>
        <v>-12627.0185184</v>
      </c>
      <c r="F8" s="16">
        <f>F7*F6</f>
        <v>-13132.099259136</v>
      </c>
    </row>
    <row r="9" ht="20.1" customHeight="1">
      <c r="B9" t="s" s="8">
        <v>8</v>
      </c>
      <c r="C9" s="15">
        <f>C6+C8</f>
        <v>6510.816</v>
      </c>
      <c r="D9" s="16">
        <f>D6+D8</f>
        <v>6445.70784</v>
      </c>
      <c r="E9" s="16">
        <f>E6+E8</f>
        <v>6639.0790752</v>
      </c>
      <c r="F9" s="16">
        <f>F6+F8</f>
        <v>6904.642238208</v>
      </c>
    </row>
    <row r="10" ht="20.05" customHeight="1">
      <c r="B10" t="s" s="8">
        <v>9</v>
      </c>
      <c r="C10" s="15">
        <f>AVERAGE('Cashflow '!D28)</f>
        <v>-180</v>
      </c>
      <c r="D10" s="16">
        <f>C10</f>
        <v>-180</v>
      </c>
      <c r="E10" s="16">
        <f>D10</f>
        <v>-180</v>
      </c>
      <c r="F10" s="16">
        <f>E10</f>
        <v>-180</v>
      </c>
    </row>
    <row r="11" ht="20.1" customHeight="1">
      <c r="B11" t="s" s="8">
        <v>10</v>
      </c>
      <c r="C11" s="15">
        <f>C12+C14</f>
        <v>-259.3158</v>
      </c>
      <c r="D11" s="16">
        <f>D12+D14</f>
        <v>-256.060392</v>
      </c>
      <c r="E11" s="16">
        <f>E12+E14</f>
        <v>-265.72895376</v>
      </c>
      <c r="F11" s="16">
        <f>F12+F14</f>
        <v>-279.0071119104</v>
      </c>
    </row>
    <row r="12" ht="20.1" customHeight="1">
      <c r="B12" t="s" s="8">
        <v>11</v>
      </c>
      <c r="C12" s="17">
        <f>IF(C21&gt;0,-C21*0.05,0)</f>
        <v>-259.3158</v>
      </c>
      <c r="D12" s="18">
        <f>IF(D21&gt;0,-D21*0.05,0)</f>
        <v>-256.060392</v>
      </c>
      <c r="E12" s="18">
        <f>IF(E21&gt;0,-E21*0.05,0)</f>
        <v>-265.72895376</v>
      </c>
      <c r="F12" s="18">
        <f>IF(F21&gt;0,-F21*0.05,0)</f>
        <v>-279.0071119104</v>
      </c>
    </row>
    <row r="13" ht="20.05" customHeight="1">
      <c r="B13" t="s" s="8">
        <v>12</v>
      </c>
      <c r="C13" s="15">
        <f>C9+C10+C12</f>
        <v>6071.5002</v>
      </c>
      <c r="D13" s="16">
        <f>D9+D10+D12</f>
        <v>6009.647448</v>
      </c>
      <c r="E13" s="16">
        <f>E9+E10+E12</f>
        <v>6193.35012144</v>
      </c>
      <c r="F13" s="16">
        <f>F9+F10+F12</f>
        <v>6445.6351262976</v>
      </c>
    </row>
    <row r="14" ht="20.1" customHeight="1">
      <c r="B14" t="s" s="8">
        <v>13</v>
      </c>
      <c r="C14" s="15">
        <f>-MIN(0,C13)</f>
        <v>0</v>
      </c>
      <c r="D14" s="16">
        <f>-MIN(C27,D13)</f>
        <v>0</v>
      </c>
      <c r="E14" s="16">
        <f>-MIN(D27,E13)</f>
        <v>0</v>
      </c>
      <c r="F14" s="16">
        <f>-MIN(E27,F13)</f>
        <v>0</v>
      </c>
    </row>
    <row r="15" ht="20.1" customHeight="1">
      <c r="B15" t="s" s="8">
        <v>14</v>
      </c>
      <c r="C15" s="15">
        <f>'Balance Sheet '!C30</f>
        <v>14874</v>
      </c>
      <c r="D15" s="16">
        <f>C17</f>
        <v>20945.5002</v>
      </c>
      <c r="E15" s="16">
        <f>D17</f>
        <v>26955.147648</v>
      </c>
      <c r="F15" s="16">
        <f>E17</f>
        <v>33148.49776944</v>
      </c>
    </row>
    <row r="16" ht="20.1" customHeight="1">
      <c r="B16" t="s" s="8">
        <v>15</v>
      </c>
      <c r="C16" s="15">
        <f>C9+C10+C11</f>
        <v>6071.5002</v>
      </c>
      <c r="D16" s="16">
        <f>D9+D10+D11</f>
        <v>6009.647448</v>
      </c>
      <c r="E16" s="16">
        <f>E9+E10+E11</f>
        <v>6193.35012144</v>
      </c>
      <c r="F16" s="16">
        <f>F9+F10+F11</f>
        <v>6445.6351262976</v>
      </c>
    </row>
    <row r="17" ht="20.1" customHeight="1">
      <c r="B17" t="s" s="8">
        <v>16</v>
      </c>
      <c r="C17" s="15">
        <f>C15+C16</f>
        <v>20945.5002</v>
      </c>
      <c r="D17" s="16">
        <f>D15+D16</f>
        <v>26955.147648</v>
      </c>
      <c r="E17" s="16">
        <f>E15+E16</f>
        <v>33148.49776944</v>
      </c>
      <c r="F17" s="16">
        <f>F15+F16</f>
        <v>39594.1328957376</v>
      </c>
    </row>
    <row r="18" ht="20.1" customHeight="1">
      <c r="B18" t="s" s="19">
        <v>17</v>
      </c>
      <c r="C18" s="17"/>
      <c r="D18" s="18"/>
      <c r="E18" s="18"/>
      <c r="F18" s="18"/>
    </row>
    <row r="19" ht="20.1" customHeight="1">
      <c r="B19" t="s" s="8">
        <v>18</v>
      </c>
      <c r="C19" s="15">
        <f>-AVERAGE('Sales'!G26)</f>
        <v>-186.1</v>
      </c>
      <c r="D19" s="16">
        <f>C19</f>
        <v>-186.1</v>
      </c>
      <c r="E19" s="16">
        <f>D19</f>
        <v>-186.1</v>
      </c>
      <c r="F19" s="16">
        <f>E19</f>
        <v>-186.1</v>
      </c>
    </row>
    <row r="20" ht="20.1" customHeight="1">
      <c r="B20" t="s" s="8">
        <v>19</v>
      </c>
      <c r="C20" s="15">
        <f>-AVERAGE('Sales'!F26)</f>
        <v>-1138.4</v>
      </c>
      <c r="D20" s="16">
        <f>C20</f>
        <v>-1138.4</v>
      </c>
      <c r="E20" s="16">
        <f>D20</f>
        <v>-1138.4</v>
      </c>
      <c r="F20" s="16">
        <f>E20</f>
        <v>-1138.4</v>
      </c>
    </row>
    <row r="21" ht="20.1" customHeight="1">
      <c r="B21" t="s" s="8">
        <v>20</v>
      </c>
      <c r="C21" s="15">
        <f>C6+C8+C19+C20</f>
        <v>5186.316</v>
      </c>
      <c r="D21" s="16">
        <f>D6+D8+D19+D20</f>
        <v>5121.20784</v>
      </c>
      <c r="E21" s="16">
        <f>E6+E8+E19+E20</f>
        <v>5314.5790752</v>
      </c>
      <c r="F21" s="16">
        <f>F6+F8+F19+F20</f>
        <v>5580.142238208</v>
      </c>
    </row>
    <row r="22" ht="20.1" customHeight="1">
      <c r="B22" t="s" s="19">
        <v>21</v>
      </c>
      <c r="C22" s="17"/>
      <c r="D22" s="18"/>
      <c r="E22" s="16"/>
      <c r="F22" s="18"/>
    </row>
    <row r="23" ht="20.1" customHeight="1">
      <c r="B23" t="s" s="8">
        <v>22</v>
      </c>
      <c r="C23" s="15">
        <f>'Balance Sheet '!E30+'Balance Sheet '!F30-C10</f>
        <v>186478</v>
      </c>
      <c r="D23" s="16">
        <f>C23-D10</f>
        <v>186658</v>
      </c>
      <c r="E23" s="16">
        <f>D23-E10</f>
        <v>186838</v>
      </c>
      <c r="F23" s="16">
        <f>E23-F10</f>
        <v>187018</v>
      </c>
    </row>
    <row r="24" ht="20.1" customHeight="1">
      <c r="B24" t="s" s="8">
        <v>18</v>
      </c>
      <c r="C24" s="15">
        <f>'Balance Sheet '!F30-C19-C20</f>
        <v>14216.5</v>
      </c>
      <c r="D24" s="16">
        <f>C24-D19-D20</f>
        <v>15541</v>
      </c>
      <c r="E24" s="16">
        <f>D24-E19-E20</f>
        <v>16865.5</v>
      </c>
      <c r="F24" s="16">
        <f>E24-F19-F20</f>
        <v>18190</v>
      </c>
    </row>
    <row r="25" ht="20.1" customHeight="1">
      <c r="B25" t="s" s="8">
        <v>23</v>
      </c>
      <c r="C25" s="15">
        <f>C23-C24</f>
        <v>172261.5</v>
      </c>
      <c r="D25" s="16">
        <f>D23-D24</f>
        <v>171117</v>
      </c>
      <c r="E25" s="16">
        <f>E23-E24</f>
        <v>169972.5</v>
      </c>
      <c r="F25" s="16">
        <f>F23-F24</f>
        <v>168828</v>
      </c>
    </row>
    <row r="26" ht="20.1" customHeight="1">
      <c r="B26" t="s" s="8">
        <v>24</v>
      </c>
      <c r="C26" s="15">
        <f>'Balance Sheet '!G30</f>
        <v>143524</v>
      </c>
      <c r="D26" s="16">
        <f>C26+(D25-C25)-(D28-C28)+D13</f>
        <v>143524</v>
      </c>
      <c r="E26" s="16">
        <f>D26+(E25-D25)-(E28-D28)+E13</f>
        <v>143524</v>
      </c>
      <c r="F26" s="16">
        <f>E26+(F25-E25)-(F28-E28)+F13</f>
        <v>143524</v>
      </c>
    </row>
    <row r="27" ht="20.1" customHeight="1">
      <c r="B27" t="s" s="8">
        <v>13</v>
      </c>
      <c r="C27" s="15">
        <f>C14</f>
        <v>0</v>
      </c>
      <c r="D27" s="16">
        <f>C27+D14</f>
        <v>0</v>
      </c>
      <c r="E27" s="16">
        <f>D27+E14</f>
        <v>0</v>
      </c>
      <c r="F27" s="16">
        <f>E27+F14</f>
        <v>0</v>
      </c>
    </row>
    <row r="28" ht="20.1" customHeight="1">
      <c r="B28" t="s" s="8">
        <v>25</v>
      </c>
      <c r="C28" s="15">
        <f>'Balance Sheet '!H30+C21+C12</f>
        <v>49683.0002</v>
      </c>
      <c r="D28" s="16">
        <f>C28+D21+D12</f>
        <v>54548.147648</v>
      </c>
      <c r="E28" s="16">
        <f>D28+E21+E12</f>
        <v>59596.99776944</v>
      </c>
      <c r="F28" s="16">
        <f>E28+F21+F12</f>
        <v>64898.1328957376</v>
      </c>
    </row>
    <row r="29" ht="20.1" customHeight="1">
      <c r="B29" t="s" s="8">
        <v>26</v>
      </c>
      <c r="C29" s="15">
        <f>C26+C27+C28-C17-C25</f>
        <v>0</v>
      </c>
      <c r="D29" s="16">
        <f>D26+D27+D28-D17-D25</f>
        <v>0</v>
      </c>
      <c r="E29" s="16">
        <f>E26+E27+E28-E17-E25</f>
        <v>0</v>
      </c>
      <c r="F29" s="16">
        <f>F26+F27+F28-F17-F25</f>
        <v>0</v>
      </c>
    </row>
    <row r="30" ht="20.1" customHeight="1">
      <c r="B30" t="s" s="19">
        <v>27</v>
      </c>
      <c r="C30" s="15"/>
      <c r="D30" s="16"/>
      <c r="E30" s="16"/>
      <c r="F30" s="16"/>
    </row>
    <row r="31" ht="20.1" customHeight="1">
      <c r="B31" t="s" s="8">
        <v>28</v>
      </c>
      <c r="C31" s="15">
        <f>'Cashflow '!O30-C11</f>
        <v>27014.8418</v>
      </c>
      <c r="D31" s="16">
        <f>C31-D11</f>
        <v>27270.902192</v>
      </c>
      <c r="E31" s="16">
        <f>D31-E11</f>
        <v>27536.63114576</v>
      </c>
      <c r="F31" s="16">
        <f>E31-F11</f>
        <v>27815.6382576704</v>
      </c>
    </row>
    <row r="32" ht="20.1" customHeight="1">
      <c r="B32" t="s" s="8">
        <v>29</v>
      </c>
      <c r="C32" s="15"/>
      <c r="D32" s="16"/>
      <c r="E32" s="16"/>
      <c r="F32" s="16">
        <v>24430</v>
      </c>
    </row>
    <row r="33" ht="20.1" customHeight="1">
      <c r="B33" t="s" s="8">
        <v>30</v>
      </c>
      <c r="C33" s="15"/>
      <c r="D33" s="16"/>
      <c r="E33" s="16"/>
      <c r="F33" s="20">
        <f>F32/(F17+F25)</f>
        <v>0.117214038934248</v>
      </c>
    </row>
    <row r="34" ht="20.1" customHeight="1">
      <c r="B34" t="s" s="8">
        <v>31</v>
      </c>
      <c r="C34" s="15"/>
      <c r="D34" s="16"/>
      <c r="E34" s="16"/>
      <c r="F34" s="14">
        <f>-(C12+D12+E12+F12)/F32</f>
        <v>0.043393870555481</v>
      </c>
    </row>
    <row r="35" ht="20.1" customHeight="1">
      <c r="B35" t="s" s="8">
        <v>3</v>
      </c>
      <c r="C35" s="15"/>
      <c r="D35" s="16"/>
      <c r="E35" s="16"/>
      <c r="F35" s="16">
        <f>SUM(C9:F10)</f>
        <v>25780.245153408</v>
      </c>
    </row>
    <row r="36" ht="20.1" customHeight="1">
      <c r="B36" t="s" s="8">
        <v>27</v>
      </c>
      <c r="C36" s="15"/>
      <c r="D36" s="16"/>
      <c r="E36" s="16"/>
      <c r="F36" s="16">
        <f>F32/F35</f>
        <v>0.9476248132873361</v>
      </c>
    </row>
    <row r="37" ht="20.1" customHeight="1">
      <c r="B37" t="s" s="21">
        <v>32</v>
      </c>
      <c r="C37" s="15"/>
      <c r="D37" s="16"/>
      <c r="E37" s="16"/>
      <c r="F37" s="16">
        <v>3</v>
      </c>
    </row>
    <row r="38" ht="20.1" customHeight="1">
      <c r="B38" t="s" s="8">
        <v>33</v>
      </c>
      <c r="C38" s="15"/>
      <c r="D38" s="16"/>
      <c r="E38" s="16"/>
      <c r="F38" s="16">
        <f>F35*F37</f>
        <v>77340.735460223994</v>
      </c>
    </row>
    <row r="39" ht="20.1" customHeight="1">
      <c r="B39" t="s" s="8">
        <v>34</v>
      </c>
      <c r="C39" s="15"/>
      <c r="D39" s="16"/>
      <c r="E39" s="16"/>
      <c r="F39" s="16">
        <f>F32/F41</f>
        <v>9.772</v>
      </c>
    </row>
    <row r="40" ht="20.1" customHeight="1">
      <c r="B40" t="s" s="8">
        <v>35</v>
      </c>
      <c r="C40" s="15"/>
      <c r="D40" s="16"/>
      <c r="E40" s="16"/>
      <c r="F40" s="16">
        <f>F38/F39</f>
        <v>7914.524709396640</v>
      </c>
    </row>
    <row r="41" ht="20.1" customHeight="1">
      <c r="B41" t="s" s="8">
        <v>36</v>
      </c>
      <c r="C41" s="15"/>
      <c r="D41" s="16"/>
      <c r="E41" s="16"/>
      <c r="F41" s="16">
        <f>'Share price'!C86</f>
        <v>2500</v>
      </c>
    </row>
    <row r="42" ht="20.1" customHeight="1">
      <c r="B42" t="s" s="8">
        <v>37</v>
      </c>
      <c r="C42" s="15"/>
      <c r="D42" s="16"/>
      <c r="E42" s="16"/>
      <c r="F42" s="14">
        <f>F40/F41-1</f>
        <v>2.16580988375866</v>
      </c>
    </row>
    <row r="43" ht="20.1" customHeight="1">
      <c r="B43" t="s" s="8">
        <v>38</v>
      </c>
      <c r="C43" s="15"/>
      <c r="D43" s="16"/>
      <c r="E43" s="16"/>
      <c r="F43" s="14">
        <f>'Cashflow '!E30/'Cashflow '!E26-1</f>
        <v>0.6611742846797291</v>
      </c>
    </row>
    <row r="44" ht="20.1" customHeight="1">
      <c r="B44" t="s" s="8">
        <v>39</v>
      </c>
      <c r="C44" s="15"/>
      <c r="D44" s="16"/>
      <c r="E44" s="16"/>
      <c r="F44" s="14">
        <f>('Sales'!D24+'Sales'!D26+'Sales'!D25)/('Sales'!C24+'Sales'!C26+'Sales'!C25)-1</f>
        <v>0.0584168767057911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2" customWidth="1"/>
    <col min="2" max="2" width="9.92969" style="22" customWidth="1"/>
    <col min="3" max="6" width="9.30469" style="22" customWidth="1"/>
    <col min="7" max="7" width="12.2266" style="22" customWidth="1"/>
    <col min="8" max="12" width="10.5312" style="22" customWidth="1"/>
    <col min="13" max="16384" width="16.3516" style="22" customWidth="1"/>
  </cols>
  <sheetData>
    <row r="1" ht="76.1" customHeight="1"/>
    <row r="2" ht="27.65" customHeight="1">
      <c r="B2" t="s" s="2">
        <v>40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23">
        <v>1</v>
      </c>
      <c r="C3" t="s" s="23">
        <v>5</v>
      </c>
      <c r="D3" t="s" s="23">
        <v>41</v>
      </c>
      <c r="E3" t="s" s="23">
        <v>42</v>
      </c>
      <c r="F3" t="s" s="23">
        <v>43</v>
      </c>
      <c r="G3" t="s" s="23">
        <v>44</v>
      </c>
      <c r="H3" t="s" s="23">
        <v>45</v>
      </c>
      <c r="I3" t="s" s="23">
        <v>46</v>
      </c>
      <c r="J3" t="s" s="23">
        <v>47</v>
      </c>
      <c r="K3" t="s" s="23">
        <v>48</v>
      </c>
      <c r="L3" t="s" s="23">
        <v>49</v>
      </c>
    </row>
    <row r="4" ht="20.25" customHeight="1">
      <c r="B4" s="24">
        <v>2016</v>
      </c>
      <c r="C4" s="25">
        <v>5265</v>
      </c>
      <c r="D4" s="26"/>
      <c r="E4" s="27">
        <v>1476</v>
      </c>
      <c r="F4" s="26">
        <v>1158</v>
      </c>
      <c r="G4" s="26">
        <f>121+28</f>
        <v>149</v>
      </c>
      <c r="H4" s="27">
        <v>845</v>
      </c>
      <c r="I4" s="28">
        <f>'Cashflow '!E8/'Balance Sheet '!E8</f>
        <v>0.0625947658262453</v>
      </c>
      <c r="J4" s="29"/>
      <c r="K4" s="30">
        <f>(H4+G4+F4-C4)/C4</f>
        <v>-0.591263057929725</v>
      </c>
      <c r="L4" s="30"/>
    </row>
    <row r="5" ht="20.05" customHeight="1">
      <c r="B5" s="31"/>
      <c r="C5" s="11">
        <v>5158</v>
      </c>
      <c r="D5" s="12"/>
      <c r="E5" s="16">
        <v>1570</v>
      </c>
      <c r="F5" s="12">
        <f>2240-F4</f>
        <v>1082</v>
      </c>
      <c r="G5" s="12">
        <f>238+57-G4</f>
        <v>146</v>
      </c>
      <c r="H5" s="16">
        <f>1800-H4</f>
        <v>955</v>
      </c>
      <c r="I5" s="32">
        <f>'Cashflow '!E9/'Balance Sheet '!E9</f>
        <v>0.0577969687309821</v>
      </c>
      <c r="J5" s="14">
        <f>'Cashflow '!E9/'Cashflow '!E8-1</f>
        <v>-0.1020261143629</v>
      </c>
      <c r="K5" s="14">
        <f>(H5+G5+F5-C5)/C5</f>
        <v>-0.57677394338891</v>
      </c>
      <c r="L5" s="14"/>
    </row>
    <row r="6" ht="20.05" customHeight="1">
      <c r="B6" s="31"/>
      <c r="C6" s="11">
        <v>5131</v>
      </c>
      <c r="D6" s="12"/>
      <c r="E6" s="16">
        <v>1443</v>
      </c>
      <c r="F6" s="12">
        <f>3421-SUM(F4:F5)</f>
        <v>1181</v>
      </c>
      <c r="G6" s="12">
        <f>350+87-SUM(G4:G5)</f>
        <v>142</v>
      </c>
      <c r="H6" s="16">
        <f>2618-SUM(H4:H5)</f>
        <v>818</v>
      </c>
      <c r="I6" s="32">
        <f>'Cashflow '!E10/'Balance Sheet '!E10</f>
        <v>0.0529752257467006</v>
      </c>
      <c r="J6" s="14">
        <f>'Cashflow '!E10/'Cashflow '!E9-1</f>
        <v>-0.0822302446851183</v>
      </c>
      <c r="K6" s="14">
        <f>(H6+G6+F6-C6)/C6</f>
        <v>-0.582732410836094</v>
      </c>
      <c r="L6" s="14"/>
    </row>
    <row r="7" ht="20.05" customHeight="1">
      <c r="B7" s="31"/>
      <c r="C7" s="11">
        <v>5101</v>
      </c>
      <c r="D7" s="12"/>
      <c r="E7" s="16">
        <v>1411</v>
      </c>
      <c r="F7" s="12">
        <f>4441-SUM(F4:F6)</f>
        <v>1020</v>
      </c>
      <c r="G7" s="12">
        <f>464+117-SUM(G4:G6)</f>
        <v>144</v>
      </c>
      <c r="H7" s="16">
        <f>2793-SUM(H4:H6)</f>
        <v>175</v>
      </c>
      <c r="I7" s="32">
        <f>'Cashflow '!E11/'Balance Sheet '!E11</f>
        <v>0.0592957002050287</v>
      </c>
      <c r="J7" s="14">
        <f>'Cashflow '!E11/'Cashflow '!E10-1</f>
        <v>0.115493881118881</v>
      </c>
      <c r="K7" s="14">
        <f>(H7+G7+F7-C7)/C7</f>
        <v>-0.737502450499902</v>
      </c>
      <c r="L7" s="14"/>
    </row>
    <row r="8" ht="20.05" customHeight="1">
      <c r="B8" s="33">
        <v>2017</v>
      </c>
      <c r="C8" s="11">
        <v>5014</v>
      </c>
      <c r="D8" s="12"/>
      <c r="E8" s="16">
        <v>1077</v>
      </c>
      <c r="F8" s="12">
        <v>847</v>
      </c>
      <c r="G8" s="12">
        <f>112+31</f>
        <v>143</v>
      </c>
      <c r="H8" s="16">
        <v>1084</v>
      </c>
      <c r="I8" s="32">
        <f>'Cashflow '!E12/'Balance Sheet '!E12</f>
        <v>0.098039447405429</v>
      </c>
      <c r="J8" s="14">
        <f>'Cashflow '!E12/'Cashflow '!E11-1</f>
        <v>0.625232637868547</v>
      </c>
      <c r="K8" s="14">
        <f>(H8+G8+F8-C8)/C8</f>
        <v>-0.586358197048265</v>
      </c>
      <c r="L8" s="14"/>
    </row>
    <row r="9" ht="20.05" customHeight="1">
      <c r="B9" s="31"/>
      <c r="C9" s="11">
        <v>5001</v>
      </c>
      <c r="D9" s="12"/>
      <c r="E9" s="16">
        <v>1649</v>
      </c>
      <c r="F9" s="12">
        <f>1711-F8</f>
        <v>864</v>
      </c>
      <c r="G9" s="12">
        <f>222+64-G8</f>
        <v>143</v>
      </c>
      <c r="H9" s="16">
        <f>2109-H8</f>
        <v>1025</v>
      </c>
      <c r="I9" s="32">
        <f>'Cashflow '!E13/'Balance Sheet '!E13</f>
        <v>0.0933350305793588</v>
      </c>
      <c r="J9" s="14">
        <f>'Cashflow '!E13/'Cashflow '!E12-1</f>
        <v>-0.0277844744455159</v>
      </c>
      <c r="K9" s="14">
        <f>(H9+G9+F9-C9)/C9</f>
        <v>-0.5936812637472511</v>
      </c>
      <c r="L9" s="14"/>
    </row>
    <row r="10" ht="20.05" customHeight="1">
      <c r="B10" s="31"/>
      <c r="C10" s="11">
        <v>4900</v>
      </c>
      <c r="D10" s="12"/>
      <c r="E10" s="16">
        <v>17</v>
      </c>
      <c r="F10" s="12">
        <f>2547.9-SUM(F8:F9)</f>
        <v>836.9</v>
      </c>
      <c r="G10" s="12">
        <f>319+93-SUM(G8:G9)</f>
        <v>126</v>
      </c>
      <c r="H10" s="16">
        <f>3145-SUM(H8:H9)</f>
        <v>1036</v>
      </c>
      <c r="I10" s="32">
        <f>'Cashflow '!E14/'Balance Sheet '!E14</f>
        <v>0.0962268766599879</v>
      </c>
      <c r="J10" s="14">
        <f>'Cashflow '!E14/'Cashflow '!E13-1</f>
        <v>0.0241770503998512</v>
      </c>
      <c r="K10" s="14">
        <f>(H10+G10+F10-C10)/C10</f>
        <v>-0.592061224489796</v>
      </c>
      <c r="L10" s="14"/>
    </row>
    <row r="11" ht="20.05" customHeight="1">
      <c r="B11" s="31"/>
      <c r="C11" s="11">
        <v>4968</v>
      </c>
      <c r="D11" s="12"/>
      <c r="E11" s="16">
        <v>945</v>
      </c>
      <c r="F11" s="12">
        <f>3513-SUM(F8:F10)</f>
        <v>965.1</v>
      </c>
      <c r="G11" s="12">
        <f>432+132-SUM(G8:G10)</f>
        <v>152</v>
      </c>
      <c r="H11" s="16">
        <f>3828-SUM(H8:H10)</f>
        <v>683</v>
      </c>
      <c r="I11" s="32">
        <f>'Cashflow '!E15/'Balance Sheet '!E15</f>
        <v>0.0967782324384928</v>
      </c>
      <c r="J11" s="14">
        <f>'Cashflow '!E15/'Cashflow '!E14-1</f>
        <v>0.0292960474547546</v>
      </c>
      <c r="K11" s="14">
        <f>(H11+G11+F11-C11)/C11</f>
        <v>-0.637661030595813</v>
      </c>
      <c r="L11" s="14"/>
    </row>
    <row r="12" ht="20.05" customHeight="1">
      <c r="B12" s="33">
        <v>2018</v>
      </c>
      <c r="C12" s="11">
        <v>5016</v>
      </c>
      <c r="D12" s="12"/>
      <c r="E12" s="16">
        <v>1071</v>
      </c>
      <c r="F12" s="12">
        <v>803</v>
      </c>
      <c r="G12" s="12">
        <f>92+41</f>
        <v>133</v>
      </c>
      <c r="H12" s="16">
        <v>1089</v>
      </c>
      <c r="I12" s="32">
        <f>'Cashflow '!E16/'Balance Sheet '!E16</f>
        <v>0.093405138662776</v>
      </c>
      <c r="J12" s="14">
        <f>'Cashflow '!E16/'Cashflow '!E15-1</f>
        <v>-0.0249338429873567</v>
      </c>
      <c r="K12" s="14">
        <f>(H12+G12+F12-C12)/C12</f>
        <v>-0.596291866028708</v>
      </c>
      <c r="L12" s="14">
        <f>('Cashflow '!C16-'Cashflow '!E16)/'Cashflow '!E16</f>
        <v>-0.999577830046439</v>
      </c>
    </row>
    <row r="13" ht="20.05" customHeight="1">
      <c r="B13" s="31"/>
      <c r="C13" s="11">
        <v>5034</v>
      </c>
      <c r="D13" s="12"/>
      <c r="E13" s="16">
        <v>1721</v>
      </c>
      <c r="F13" s="12">
        <f>1693-F12</f>
        <v>890</v>
      </c>
      <c r="G13" s="12">
        <f>179+78-G12</f>
        <v>124</v>
      </c>
      <c r="H13" s="16">
        <f>2100-H12</f>
        <v>1011</v>
      </c>
      <c r="I13" s="32">
        <f>'Cashflow '!E17/'Balance Sheet '!E17</f>
        <v>0.118792556365401</v>
      </c>
      <c r="J13" s="14">
        <f>'Cashflow '!E17/'Cashflow '!E16-1</f>
        <v>0.284723478680417</v>
      </c>
      <c r="K13" s="14">
        <f>(H13+G13+F13-C13)/C13</f>
        <v>-0.597735399284863</v>
      </c>
      <c r="L13" s="14">
        <f>('Cashflow '!C17-'Cashflow '!E17)/'Cashflow '!E17</f>
        <v>-0.733499201952868</v>
      </c>
    </row>
    <row r="14" ht="20.05" customHeight="1">
      <c r="B14" s="31"/>
      <c r="C14" s="11">
        <v>4987</v>
      </c>
      <c r="D14" s="12"/>
      <c r="E14" s="16">
        <v>-69</v>
      </c>
      <c r="F14" s="12">
        <f>2521.7-SUM(F12:F13)</f>
        <v>828.7</v>
      </c>
      <c r="G14" s="12">
        <f>263+117-SUM(G12:G13)</f>
        <v>123</v>
      </c>
      <c r="H14" s="16">
        <f>3174-SUM(H12:H13)</f>
        <v>1074</v>
      </c>
      <c r="I14" s="32">
        <f>'Cashflow '!E18/'Balance Sheet '!E18</f>
        <v>0.08198325602443721</v>
      </c>
      <c r="J14" s="14">
        <f>'Cashflow '!E18/'Cashflow '!E17-1</f>
        <v>-0.319641348230213</v>
      </c>
      <c r="K14" s="14">
        <f>(H14+G14+F14-C14)/C14</f>
        <v>-0.593803890114297</v>
      </c>
      <c r="L14" s="14">
        <f>('Cashflow '!C18-'Cashflow '!E18)/'Cashflow '!E18</f>
        <v>-1.18208790450562</v>
      </c>
    </row>
    <row r="15" ht="20.05" customHeight="1">
      <c r="B15" s="31"/>
      <c r="C15" s="11">
        <v>5135</v>
      </c>
      <c r="D15" s="12"/>
      <c r="E15" s="16">
        <v>973</v>
      </c>
      <c r="F15" s="12">
        <f>3266.8-SUM(F12:F14)</f>
        <v>745.1</v>
      </c>
      <c r="G15" s="12">
        <f>353+160-SUM(G12:G14)</f>
        <v>133</v>
      </c>
      <c r="H15" s="16">
        <f>4107-SUM(H12:H14)</f>
        <v>933</v>
      </c>
      <c r="I15" s="32">
        <f>'Cashflow '!E19/'Balance Sheet '!E19</f>
        <v>0.0998597353456056</v>
      </c>
      <c r="J15" s="14">
        <f>'Cashflow '!E19/'Cashflow '!E18-1</f>
        <v>0.26737045470227</v>
      </c>
      <c r="K15" s="14">
        <f>(H15+G15+F15-C15)/C15</f>
        <v>-0.64730282375852</v>
      </c>
      <c r="L15" s="14">
        <f>('Cashflow '!C19-'Cashflow '!E19)/'Cashflow '!E19</f>
        <v>-0.95383275261324</v>
      </c>
    </row>
    <row r="16" ht="20.05" customHeight="1">
      <c r="B16" s="33">
        <v>2019</v>
      </c>
      <c r="C16" s="11">
        <v>5190</v>
      </c>
      <c r="D16" s="12"/>
      <c r="E16" s="16">
        <v>890</v>
      </c>
      <c r="F16" s="12">
        <v>799</v>
      </c>
      <c r="G16" s="12">
        <f>81+48</f>
        <v>129</v>
      </c>
      <c r="H16" s="16">
        <v>980</v>
      </c>
      <c r="I16" s="32">
        <f>'Cashflow '!E20/'Balance Sheet '!E20</f>
        <v>0.0919849638431398</v>
      </c>
      <c r="J16" s="14">
        <f>'Cashflow '!E20/'Cashflow '!E19-1</f>
        <v>-0.0567835365853659</v>
      </c>
      <c r="K16" s="14">
        <f>(H16+G16+F16-C16)/C16</f>
        <v>-0.632369942196532</v>
      </c>
      <c r="L16" s="14">
        <f>('Cashflow '!C20-'Cashflow '!E20)/'Cashflow '!E20</f>
        <v>-0.972467532467532</v>
      </c>
    </row>
    <row r="17" ht="20.05" customHeight="1">
      <c r="B17" s="31"/>
      <c r="C17" s="11">
        <v>5395</v>
      </c>
      <c r="D17" s="12"/>
      <c r="E17" s="16">
        <v>957</v>
      </c>
      <c r="F17" s="12">
        <f>1699-F16</f>
        <v>900</v>
      </c>
      <c r="G17" s="12">
        <f>160+102-G16</f>
        <v>133</v>
      </c>
      <c r="H17" s="16">
        <f>1911-H16</f>
        <v>931</v>
      </c>
      <c r="I17" s="32">
        <f>'Cashflow '!E21/'Balance Sheet '!E21</f>
        <v>0.0936706153172332</v>
      </c>
      <c r="J17" s="14">
        <f>'Cashflow '!E21/'Cashflow '!E20-1</f>
        <v>0.0616219336219336</v>
      </c>
      <c r="K17" s="14">
        <f>(H17+G17+F17-C17)/C17</f>
        <v>-0.6359592215013899</v>
      </c>
      <c r="L17" s="14">
        <f>('Cashflow '!C21-'Cashflow '!E21)/'Cashflow '!E21</f>
        <v>-0.951556604286507</v>
      </c>
    </row>
    <row r="18" ht="20.05" customHeight="1">
      <c r="B18" s="31"/>
      <c r="C18" s="11">
        <v>5526</v>
      </c>
      <c r="D18" s="12"/>
      <c r="E18" s="16">
        <v>974</v>
      </c>
      <c r="F18" s="12">
        <f>2805-SUM(F16:F17)</f>
        <v>1106</v>
      </c>
      <c r="G18" s="12">
        <f>236+153-SUM(G16:G17)</f>
        <v>127</v>
      </c>
      <c r="H18" s="16">
        <f>2280-SUM(H16:H17)</f>
        <v>369</v>
      </c>
      <c r="I18" s="32">
        <f>'Cashflow '!E22/'Balance Sheet '!E22</f>
        <v>0.0924652039235932</v>
      </c>
      <c r="J18" s="14">
        <f>'Cashflow '!E22/'Cashflow '!E21-1</f>
        <v>-0.0262110848928373</v>
      </c>
      <c r="K18" s="14">
        <f>(H18+G18+F18-C18)/C18</f>
        <v>-0.710097719869707</v>
      </c>
      <c r="L18" s="14">
        <f>('Cashflow '!C22-'Cashflow '!E22)/'Cashflow '!E22</f>
        <v>-0.920661109035979</v>
      </c>
    </row>
    <row r="19" ht="20.05" customHeight="1">
      <c r="B19" s="31"/>
      <c r="C19" s="11">
        <v>5859</v>
      </c>
      <c r="D19" s="34"/>
      <c r="E19" s="16">
        <v>966</v>
      </c>
      <c r="F19" s="12">
        <f>4705-SUM(F16:F18)</f>
        <v>1900</v>
      </c>
      <c r="G19" s="12">
        <f>310+196-SUM(G16:G18)</f>
        <v>117</v>
      </c>
      <c r="H19" s="16">
        <f>4240.6-SUM(H16:H18)</f>
        <v>1960.6</v>
      </c>
      <c r="I19" s="32">
        <f>'Cashflow '!E23/'Balance Sheet '!E23</f>
        <v>0.114327552790539</v>
      </c>
      <c r="J19" s="14">
        <f>'Cashflow '!E23/'Cashflow '!E22-1</f>
        <v>0.12966576607813</v>
      </c>
      <c r="K19" s="14">
        <f>(H19+G19+F19-C19)/C19</f>
        <v>-0.321112817887011</v>
      </c>
      <c r="L19" s="14">
        <f>('Cashflow '!C23-'Cashflow '!E23)/'Cashflow '!E23</f>
        <v>-0.938812497868569</v>
      </c>
    </row>
    <row r="20" ht="20.05" customHeight="1">
      <c r="B20" s="33">
        <v>2020</v>
      </c>
      <c r="C20" s="15">
        <v>5540</v>
      </c>
      <c r="D20" s="34"/>
      <c r="E20" s="16">
        <v>1646</v>
      </c>
      <c r="F20" s="12">
        <v>1146</v>
      </c>
      <c r="G20" s="12">
        <f>122+50</f>
        <v>172</v>
      </c>
      <c r="H20" s="35">
        <v>1287</v>
      </c>
      <c r="I20" s="32">
        <f>'Cashflow '!E24/'Balance Sheet '!E24</f>
        <v>0.0946998891148581</v>
      </c>
      <c r="J20" s="14">
        <f>'Cashflow '!E24/'Cashflow '!E23-1</f>
        <v>-0.0587108416049314</v>
      </c>
      <c r="K20" s="14">
        <f>(H20+G20+F20-C20)/C20</f>
        <v>-0.529783393501805</v>
      </c>
      <c r="L20" s="14">
        <f>('Cashflow '!C24-'Cashflow '!E24)/'Cashflow '!E24</f>
        <v>-0.780414807035967</v>
      </c>
    </row>
    <row r="21" ht="20.05" customHeight="1">
      <c r="B21" s="31"/>
      <c r="C21" s="15">
        <v>5154</v>
      </c>
      <c r="D21" s="34"/>
      <c r="E21" s="16">
        <v>810</v>
      </c>
      <c r="F21" s="12">
        <f>3214-F20</f>
        <v>2068</v>
      </c>
      <c r="G21" s="12">
        <f>240+102-G20</f>
        <v>170</v>
      </c>
      <c r="H21" s="35">
        <f>892-H20</f>
        <v>-395</v>
      </c>
      <c r="I21" s="32">
        <f>'Cashflow '!E25/'Balance Sheet '!E25</f>
        <v>0.0965450297602492</v>
      </c>
      <c r="J21" s="14">
        <f>'Cashflow '!E25/'Cashflow '!E24-1</f>
        <v>-0.0886899448674193</v>
      </c>
      <c r="K21" s="14">
        <f>(H21+G21+F21-C21)/C21</f>
        <v>-0.642413659293752</v>
      </c>
      <c r="L21" s="14">
        <f>('Cashflow '!C25-'Cashflow '!E25)/'Cashflow '!E25</f>
        <v>-0.589015838994233</v>
      </c>
    </row>
    <row r="22" ht="20.05" customHeight="1">
      <c r="B22" s="31"/>
      <c r="C22" s="15">
        <v>5072</v>
      </c>
      <c r="D22" s="34"/>
      <c r="E22" s="16">
        <v>917</v>
      </c>
      <c r="F22" s="12">
        <f>4161-SUM(F20:F21)</f>
        <v>947</v>
      </c>
      <c r="G22" s="12">
        <f>351+152-SUM(G20:G21)</f>
        <v>161</v>
      </c>
      <c r="H22" s="35">
        <f>1541-SUM(H20:H21)</f>
        <v>649</v>
      </c>
      <c r="I22" s="32">
        <f>'Cashflow '!E26/'Balance Sheet '!E26</f>
        <v>0.058821669069082</v>
      </c>
      <c r="J22" s="14">
        <f>'Cashflow '!E26/'Cashflow '!E25-1</f>
        <v>-0.369876526138086</v>
      </c>
      <c r="K22" s="14">
        <f>(H22+G22+F22-C22)/C22</f>
        <v>-0.65358832807571</v>
      </c>
      <c r="L22" s="14">
        <f>('Cashflow '!C26-'Cashflow '!E26)/'Cashflow '!E26</f>
        <v>-0.887622572775585</v>
      </c>
    </row>
    <row r="23" ht="20.05" customHeight="1">
      <c r="B23" s="31"/>
      <c r="C23" s="15">
        <v>4322</v>
      </c>
      <c r="D23" s="34"/>
      <c r="E23" s="16">
        <v>819</v>
      </c>
      <c r="F23" s="12">
        <v>2379</v>
      </c>
      <c r="G23" s="12">
        <v>156</v>
      </c>
      <c r="H23" s="35">
        <v>-452</v>
      </c>
      <c r="I23" s="32">
        <f>'Cashflow '!E27/'Balance Sheet '!E27</f>
        <v>0.112019615083847</v>
      </c>
      <c r="J23" s="14">
        <f>'Cashflow '!E27/'Cashflow '!E26-1</f>
        <v>0.886161391907362</v>
      </c>
      <c r="K23" s="14">
        <f>(H23+G23+F23-C23)/C23</f>
        <v>-0.518047200370199</v>
      </c>
      <c r="L23" s="14">
        <f>('Cashflow '!C27-'Cashflow '!E27)/'Cashflow '!E27</f>
        <v>-0.542218391350676</v>
      </c>
    </row>
    <row r="24" ht="20.05" customHeight="1">
      <c r="B24" s="33">
        <v>2021</v>
      </c>
      <c r="C24" s="15">
        <f>4523.4</f>
        <v>4523.4</v>
      </c>
      <c r="D24" s="12">
        <v>4722</v>
      </c>
      <c r="E24" s="16">
        <v>1645.6</v>
      </c>
      <c r="F24" s="12">
        <v>1218.2</v>
      </c>
      <c r="G24" s="16">
        <f>109+50.7</f>
        <v>159.7</v>
      </c>
      <c r="H24" s="16">
        <v>538.6</v>
      </c>
      <c r="I24" s="32">
        <f>'Cashflow '!E28/'Balance Sheet '!E28</f>
        <v>0.0727458689615353</v>
      </c>
      <c r="J24" s="14">
        <f>'Cashflow '!E28/'Cashflow '!E27-1</f>
        <v>-0.358669442217131</v>
      </c>
      <c r="K24" s="14">
        <f>(H24+G24+F24-C24)/C24</f>
        <v>-0.57631427687138</v>
      </c>
      <c r="L24" s="14">
        <f>('Cashflow '!C28-'Cashflow '!E28)/'Cashflow '!E28</f>
        <v>-0.904982916578478</v>
      </c>
    </row>
    <row r="25" ht="20.05" customHeight="1">
      <c r="B25" s="31"/>
      <c r="C25" s="15">
        <f>9062.8-C24</f>
        <v>4539.4</v>
      </c>
      <c r="D25" s="16">
        <v>4796</v>
      </c>
      <c r="E25" s="16">
        <f>1801.7-E24</f>
        <v>156.1</v>
      </c>
      <c r="F25" s="12">
        <f>2615-F24</f>
        <v>1396.8</v>
      </c>
      <c r="G25" s="12">
        <f>209.7+106.4-G24</f>
        <v>156.4</v>
      </c>
      <c r="H25" s="18">
        <f>1035.4-H24</f>
        <v>496.8</v>
      </c>
      <c r="I25" s="32">
        <f>'Cashflow '!E29/'Balance Sheet '!E29</f>
        <v>0.0874506126254106</v>
      </c>
      <c r="J25" s="14">
        <f>'Cashflow '!E29/'Cashflow '!E28-1</f>
        <v>0.191251171650591</v>
      </c>
      <c r="K25" s="14">
        <f>(H25+G25+F25-C25)/C25</f>
        <v>-0.548398466757721</v>
      </c>
      <c r="L25" s="14">
        <f>('Cashflow '!C29-'Cashflow '!E29)/'Cashflow '!E29</f>
        <v>-0.835652598782941</v>
      </c>
    </row>
    <row r="26" ht="20.05" customHeight="1">
      <c r="B26" s="31"/>
      <c r="C26" s="15">
        <f>13410.2-SUM(C24:C25)</f>
        <v>4347.4</v>
      </c>
      <c r="D26" s="12">
        <v>4675.582</v>
      </c>
      <c r="E26" s="16">
        <f>2641.2-SUM(E24:E25)</f>
        <v>839.5</v>
      </c>
      <c r="F26" s="12">
        <f>3753.4-SUM(F24:F25)</f>
        <v>1138.4</v>
      </c>
      <c r="G26" s="12">
        <f>162.2+340-SUM(G24:G25)</f>
        <v>186.1</v>
      </c>
      <c r="H26" s="16">
        <f>1468.7-SUM(H24:H25)</f>
        <v>433.3</v>
      </c>
      <c r="I26" s="32">
        <f>'Cashflow '!E30/'Balance Sheet '!E30</f>
        <v>0.104766847744599</v>
      </c>
      <c r="J26" s="14">
        <f>'Cashflow '!E30/'Cashflow '!E29-1</f>
        <v>0.152792319455813</v>
      </c>
      <c r="K26" s="14">
        <f>(H26+G26+F26-C26)/C26</f>
        <v>-0.5956663753047799</v>
      </c>
      <c r="L26" s="14">
        <f>('Cashflow '!C30-'Cashflow '!E30)/'Cashflow '!E30</f>
        <v>-0.655400942357656</v>
      </c>
    </row>
    <row r="27" ht="20.05" customHeight="1">
      <c r="B27" s="31"/>
      <c r="C27" s="15"/>
      <c r="D27" s="34"/>
      <c r="E27" s="16"/>
      <c r="F27" s="12"/>
      <c r="G27" s="12"/>
      <c r="H27" s="35"/>
      <c r="I27" s="32"/>
      <c r="J27" s="14"/>
      <c r="K27" s="34"/>
      <c r="L27" s="14">
        <f>'Model'!C7</f>
        <v>-0.655400942357656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2656" style="36" customWidth="1"/>
    <col min="2" max="15" width="10.9219" style="36" customWidth="1"/>
    <col min="16" max="16384" width="16.3516" style="36" customWidth="1"/>
  </cols>
  <sheetData>
    <row r="1" ht="11.45" customHeight="1"/>
    <row r="2" ht="27.65" customHeight="1">
      <c r="B2" t="s" s="2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23">
        <v>1</v>
      </c>
      <c r="C3" t="s" s="23">
        <v>3</v>
      </c>
      <c r="D3" t="s" s="23">
        <v>51</v>
      </c>
      <c r="E3" t="s" s="23">
        <v>52</v>
      </c>
      <c r="F3" t="s" s="23">
        <v>32</v>
      </c>
      <c r="G3" t="s" s="23">
        <v>53</v>
      </c>
      <c r="H3" t="s" s="23">
        <v>54</v>
      </c>
      <c r="I3" t="s" s="23">
        <v>55</v>
      </c>
      <c r="J3" t="s" s="23">
        <v>24</v>
      </c>
      <c r="K3" t="s" s="23">
        <v>25</v>
      </c>
      <c r="L3" t="s" s="23">
        <v>10</v>
      </c>
      <c r="M3" t="s" s="23">
        <v>56</v>
      </c>
      <c r="N3" t="s" s="23">
        <v>3</v>
      </c>
      <c r="O3" t="s" s="23">
        <v>28</v>
      </c>
    </row>
    <row r="4" ht="20.25" customHeight="1">
      <c r="B4" s="24">
        <v>2015</v>
      </c>
      <c r="C4" s="37"/>
      <c r="D4" s="27"/>
      <c r="E4" s="27">
        <f>2614+8659+548</f>
        <v>11821</v>
      </c>
      <c r="F4" s="27"/>
      <c r="G4" s="27">
        <v>2614</v>
      </c>
      <c r="H4" s="27">
        <v>557</v>
      </c>
      <c r="I4" s="27">
        <v>-2255</v>
      </c>
      <c r="J4" s="27"/>
      <c r="K4" s="27"/>
      <c r="L4" s="27">
        <v>-364</v>
      </c>
      <c r="M4" s="27">
        <f>H4+I4</f>
        <v>-1698</v>
      </c>
      <c r="N4" s="38"/>
      <c r="O4" s="39">
        <f>-L4</f>
        <v>364</v>
      </c>
    </row>
    <row r="5" ht="20.05" customHeight="1">
      <c r="B5" s="31"/>
      <c r="C5" s="15"/>
      <c r="D5" s="16"/>
      <c r="E5" s="16">
        <f>5771+16320+374+1126-E4</f>
        <v>11770</v>
      </c>
      <c r="F5" s="16"/>
      <c r="G5" s="16">
        <v>3157</v>
      </c>
      <c r="H5" s="16">
        <f>4554-H4</f>
        <v>3997</v>
      </c>
      <c r="I5" s="16">
        <f>-774-I4</f>
        <v>1481</v>
      </c>
      <c r="J5" s="16"/>
      <c r="K5" s="16"/>
      <c r="L5" s="16">
        <f>-1365-L4</f>
        <v>-1001</v>
      </c>
      <c r="M5" s="16">
        <f>H5+I5</f>
        <v>5478</v>
      </c>
      <c r="N5" s="34"/>
      <c r="O5" s="16">
        <f>-L5+O4</f>
        <v>1365</v>
      </c>
    </row>
    <row r="6" ht="20.05" customHeight="1">
      <c r="B6" s="31"/>
      <c r="C6" s="15"/>
      <c r="D6" s="16"/>
      <c r="E6" s="16">
        <f>8115+24634+482+1647-SUM(E4:E5)</f>
        <v>11287</v>
      </c>
      <c r="F6" s="16"/>
      <c r="G6" s="16">
        <v>2344</v>
      </c>
      <c r="H6" s="16">
        <f>4448-SUM(H4:H5)</f>
        <v>-106</v>
      </c>
      <c r="I6" s="16">
        <f>1961-SUM(I4:I5)</f>
        <v>2735</v>
      </c>
      <c r="J6" s="16"/>
      <c r="K6" s="16"/>
      <c r="L6" s="16">
        <f>-1695-SUM(L4:L5)</f>
        <v>-330</v>
      </c>
      <c r="M6" s="16">
        <f>H6+I6</f>
        <v>2629</v>
      </c>
      <c r="N6" s="34"/>
      <c r="O6" s="16">
        <f>-L6+O5</f>
        <v>1695</v>
      </c>
    </row>
    <row r="7" ht="20.05" customHeight="1">
      <c r="B7" s="31"/>
      <c r="C7" s="15"/>
      <c r="D7" s="16"/>
      <c r="E7" s="16">
        <f>11294+32694+537+1284-SUM(E4:E6)</f>
        <v>10931</v>
      </c>
      <c r="F7" s="16"/>
      <c r="G7" s="16">
        <v>3179</v>
      </c>
      <c r="H7" s="16">
        <f>8995-SUM(H4:H6)</f>
        <v>4547</v>
      </c>
      <c r="I7" s="16">
        <f>2757-SUM(I4:I6)</f>
        <v>796</v>
      </c>
      <c r="J7" s="16"/>
      <c r="K7" s="16"/>
      <c r="L7" s="16">
        <f>-5166-SUM(L4:L6)</f>
        <v>-3471</v>
      </c>
      <c r="M7" s="16">
        <f>H7+I7</f>
        <v>5343</v>
      </c>
      <c r="N7" s="34"/>
      <c r="O7" s="16">
        <f>-L7+O6</f>
        <v>5166</v>
      </c>
    </row>
    <row r="8" ht="20.05" customHeight="1">
      <c r="B8" s="33">
        <v>2016</v>
      </c>
      <c r="C8" s="15"/>
      <c r="D8" s="16"/>
      <c r="E8" s="16">
        <f>2673+7930+189+313</f>
        <v>11105</v>
      </c>
      <c r="F8" s="16"/>
      <c r="G8" s="16">
        <v>2673</v>
      </c>
      <c r="H8" s="16">
        <v>-592</v>
      </c>
      <c r="I8" s="16">
        <v>-4817</v>
      </c>
      <c r="J8" s="16"/>
      <c r="K8" s="16"/>
      <c r="L8" s="16">
        <v>-2056</v>
      </c>
      <c r="M8" s="16">
        <f>H8+I8</f>
        <v>-5409</v>
      </c>
      <c r="N8" s="16">
        <f>AVERAGE(M5:M8)</f>
        <v>2010.25</v>
      </c>
      <c r="O8" s="16">
        <f>-L8+O7</f>
        <v>7222</v>
      </c>
    </row>
    <row r="9" ht="20.05" customHeight="1">
      <c r="B9" s="31"/>
      <c r="C9" s="15"/>
      <c r="D9" s="16"/>
      <c r="E9" s="16">
        <f>5700+14444+337+596-E8</f>
        <v>9972</v>
      </c>
      <c r="F9" s="16"/>
      <c r="G9" s="16">
        <v>3027</v>
      </c>
      <c r="H9" s="16">
        <f>-4390-H8</f>
        <v>-3798</v>
      </c>
      <c r="I9" s="16">
        <f>-11100-I8</f>
        <v>-6283</v>
      </c>
      <c r="J9" s="16"/>
      <c r="K9" s="16"/>
      <c r="L9" s="16">
        <f>-1366-L8</f>
        <v>690</v>
      </c>
      <c r="M9" s="16">
        <f>H9+I9</f>
        <v>-10081</v>
      </c>
      <c r="N9" s="16">
        <f>AVERAGE(M6:M9)</f>
        <v>-1879.5</v>
      </c>
      <c r="O9" s="16">
        <f>-L9+O8</f>
        <v>6532</v>
      </c>
    </row>
    <row r="10" ht="20.05" customHeight="1">
      <c r="B10" s="31"/>
      <c r="C10" s="15"/>
      <c r="D10" s="16"/>
      <c r="E10" s="16">
        <f>7995+20756+506+972-SUM(E8:E9)</f>
        <v>9152</v>
      </c>
      <c r="F10" s="16"/>
      <c r="G10" s="16">
        <v>2295</v>
      </c>
      <c r="H10" s="16">
        <f>-2934-SUM(H8:H9)</f>
        <v>1456</v>
      </c>
      <c r="I10" s="16">
        <f>-13752-SUM(I8:I9)</f>
        <v>-2652</v>
      </c>
      <c r="J10" s="16"/>
      <c r="K10" s="16"/>
      <c r="L10" s="16">
        <f>-1957-SUM(L8:L9)</f>
        <v>-591</v>
      </c>
      <c r="M10" s="16">
        <f>H10+I10</f>
        <v>-1196</v>
      </c>
      <c r="N10" s="16">
        <f>AVERAGE(M7:M10)</f>
        <v>-2835.75</v>
      </c>
      <c r="O10" s="16">
        <f>-L10+O9</f>
        <v>7123</v>
      </c>
    </row>
    <row r="11" ht="20.05" customHeight="1">
      <c r="B11" s="31"/>
      <c r="C11" s="15"/>
      <c r="D11" s="16"/>
      <c r="E11" s="16">
        <f>10457+27952+754+1275-SUM(E8:E10)</f>
        <v>10209</v>
      </c>
      <c r="F11" s="16"/>
      <c r="G11" s="16">
        <v>2462</v>
      </c>
      <c r="H11" s="16">
        <f>-446-SUM(H8:H10)</f>
        <v>2488</v>
      </c>
      <c r="I11" s="16">
        <f>-12658-SUM(I8:I10)</f>
        <v>1094</v>
      </c>
      <c r="J11" s="16"/>
      <c r="K11" s="16"/>
      <c r="L11" s="16">
        <f>-3685-SUM(L8:L10)</f>
        <v>-1728</v>
      </c>
      <c r="M11" s="16">
        <f>H11+I11</f>
        <v>3582</v>
      </c>
      <c r="N11" s="16">
        <f>AVERAGE(M8:M11)</f>
        <v>-3276</v>
      </c>
      <c r="O11" s="16">
        <f>-L11+O10</f>
        <v>8851</v>
      </c>
    </row>
    <row r="12" ht="20.05" customHeight="1">
      <c r="B12" s="33">
        <v>2017</v>
      </c>
      <c r="C12" s="15">
        <v>2387</v>
      </c>
      <c r="D12" s="16">
        <v>-157</v>
      </c>
      <c r="E12" s="16">
        <f>2568+10350+3233+175+266</f>
        <v>16592</v>
      </c>
      <c r="F12" s="16"/>
      <c r="G12" s="16">
        <v>2568</v>
      </c>
      <c r="H12" s="16">
        <v>-861</v>
      </c>
      <c r="I12" s="16">
        <v>-1914</v>
      </c>
      <c r="J12" s="16">
        <v>254.15725</v>
      </c>
      <c r="K12" s="16">
        <v>-248.40725</v>
      </c>
      <c r="L12" s="16">
        <v>213</v>
      </c>
      <c r="M12" s="16">
        <f>C12+D12</f>
        <v>2230</v>
      </c>
      <c r="N12" s="16">
        <f>AVERAGE(M9:M12)</f>
        <v>-1366.25</v>
      </c>
      <c r="O12" s="16">
        <f>-L12+O11</f>
        <v>8638</v>
      </c>
    </row>
    <row r="13" ht="20.05" customHeight="1">
      <c r="B13" s="31"/>
      <c r="C13" s="15">
        <v>326</v>
      </c>
      <c r="D13" s="16">
        <v>-94</v>
      </c>
      <c r="E13" s="16">
        <f>5628+20069+6160+360+506-E12</f>
        <v>16131</v>
      </c>
      <c r="F13" s="16"/>
      <c r="G13" s="16">
        <v>3060</v>
      </c>
      <c r="H13" s="16">
        <f>2839-H12</f>
        <v>3700</v>
      </c>
      <c r="I13" s="16">
        <f>11-I12</f>
        <v>1925</v>
      </c>
      <c r="J13" s="16">
        <v>254.15725</v>
      </c>
      <c r="K13" s="16">
        <v>-248.40725</v>
      </c>
      <c r="L13" s="16">
        <f>1172-L12</f>
        <v>959</v>
      </c>
      <c r="M13" s="16">
        <f>C13+D13</f>
        <v>232</v>
      </c>
      <c r="N13" s="16">
        <f>AVERAGE(M10:M13)</f>
        <v>1212</v>
      </c>
      <c r="O13" s="16">
        <f>-L13+O12</f>
        <v>7679</v>
      </c>
    </row>
    <row r="14" ht="20.05" customHeight="1">
      <c r="B14" s="31"/>
      <c r="C14" s="15">
        <v>-287</v>
      </c>
      <c r="D14" s="16">
        <v>-70</v>
      </c>
      <c r="E14" s="16">
        <f>7666+30801+9528+543+706-SUM(E12:E13)</f>
        <v>16521</v>
      </c>
      <c r="F14" s="16"/>
      <c r="G14" s="16">
        <v>2038</v>
      </c>
      <c r="H14" s="16">
        <f>-616-SUM(H12:H13)</f>
        <v>-3455</v>
      </c>
      <c r="I14" s="16">
        <f>-980-SUM(I12:I13)</f>
        <v>-991</v>
      </c>
      <c r="J14" s="16">
        <v>254.15725</v>
      </c>
      <c r="K14" s="16">
        <v>-248.40725</v>
      </c>
      <c r="L14" s="16">
        <f>-695-SUM(L12:L13)</f>
        <v>-1867</v>
      </c>
      <c r="M14" s="16">
        <f>C14+D14</f>
        <v>-357</v>
      </c>
      <c r="N14" s="16">
        <f>AVERAGE(M11:M14)</f>
        <v>1421.75</v>
      </c>
      <c r="O14" s="16">
        <f>-L14+O13</f>
        <v>9546</v>
      </c>
    </row>
    <row r="15" ht="20.05" customHeight="1">
      <c r="B15" s="31"/>
      <c r="C15" s="15">
        <v>4102</v>
      </c>
      <c r="D15" s="16">
        <v>-166</v>
      </c>
      <c r="E15" s="16">
        <f>11758+41151+12565+775-SUM(E12:E14)</f>
        <v>17005</v>
      </c>
      <c r="F15" s="16"/>
      <c r="G15" s="16">
        <v>4092</v>
      </c>
      <c r="H15" s="16">
        <f>3748.6-SUM(H12:H14)</f>
        <v>4364.6</v>
      </c>
      <c r="I15" s="16">
        <f>-3189-SUM(I12:I14)</f>
        <v>-2209</v>
      </c>
      <c r="J15" s="16">
        <v>254.15725</v>
      </c>
      <c r="K15" s="16">
        <v>-248.40725</v>
      </c>
      <c r="L15" s="16">
        <f>23-SUM(L12:L14)</f>
        <v>718</v>
      </c>
      <c r="M15" s="16">
        <f>C15+D15</f>
        <v>3936</v>
      </c>
      <c r="N15" s="16">
        <f>AVERAGE(M12:M15)</f>
        <v>1510.25</v>
      </c>
      <c r="O15" s="16">
        <f>-L15+O14</f>
        <v>8828</v>
      </c>
    </row>
    <row r="16" ht="20.05" customHeight="1">
      <c r="B16" s="33">
        <v>2018</v>
      </c>
      <c r="C16" s="15">
        <v>7</v>
      </c>
      <c r="D16" s="16">
        <v>-85</v>
      </c>
      <c r="E16" s="16">
        <f>2719+10387+3022+239+214</f>
        <v>16581</v>
      </c>
      <c r="F16" s="16"/>
      <c r="G16" s="16">
        <v>2719</v>
      </c>
      <c r="H16" s="16">
        <v>-1759</v>
      </c>
      <c r="I16" s="16">
        <v>-1899</v>
      </c>
      <c r="J16" s="16">
        <v>-760.17675</v>
      </c>
      <c r="K16" s="16">
        <v>-335.364</v>
      </c>
      <c r="L16" s="16">
        <v>1534</v>
      </c>
      <c r="M16" s="16">
        <f>C16+D16</f>
        <v>-78</v>
      </c>
      <c r="N16" s="16">
        <f>AVERAGE(M13:M16)</f>
        <v>933.25</v>
      </c>
      <c r="O16" s="16">
        <f>-L16+O15</f>
        <v>7294</v>
      </c>
    </row>
    <row r="17" ht="20.05" customHeight="1">
      <c r="B17" s="31"/>
      <c r="C17" s="15">
        <v>5677</v>
      </c>
      <c r="D17" s="16">
        <v>-51</v>
      </c>
      <c r="E17" s="16">
        <f>7966+20337+8366+546+668-E16</f>
        <v>21302</v>
      </c>
      <c r="F17" s="16"/>
      <c r="G17" s="16">
        <v>2410</v>
      </c>
      <c r="H17" s="16">
        <f>3591-H16</f>
        <v>5350</v>
      </c>
      <c r="I17" s="16">
        <f>-1931-I16</f>
        <v>-32</v>
      </c>
      <c r="J17" s="16">
        <v>-760.17675</v>
      </c>
      <c r="K17" s="16">
        <v>-335.364</v>
      </c>
      <c r="L17" s="16">
        <f>-3262-L16</f>
        <v>-4796</v>
      </c>
      <c r="M17" s="16">
        <f>C17+D17</f>
        <v>5626</v>
      </c>
      <c r="N17" s="16">
        <f>AVERAGE(M14:M17)</f>
        <v>2281.75</v>
      </c>
      <c r="O17" s="16">
        <f>-L17+O16</f>
        <v>12090</v>
      </c>
    </row>
    <row r="18" ht="20.05" customHeight="1">
      <c r="B18" s="31"/>
      <c r="C18" s="15">
        <v>-2639</v>
      </c>
      <c r="D18" s="16">
        <v>-121</v>
      </c>
      <c r="E18" s="16">
        <f>7539+31119+12862+856-SUM(E16:E17)</f>
        <v>14493</v>
      </c>
      <c r="F18" s="16"/>
      <c r="G18" s="16">
        <v>2410</v>
      </c>
      <c r="H18" s="16">
        <f>2421-SUM(H16:H17)</f>
        <v>-1170</v>
      </c>
      <c r="I18" s="16">
        <f>-292-SUM(I16:I17)</f>
        <v>1639</v>
      </c>
      <c r="J18" s="16">
        <v>-760.17675</v>
      </c>
      <c r="K18" s="16">
        <v>-335.364</v>
      </c>
      <c r="L18" s="16">
        <f>-4719-SUM(L16:L17)</f>
        <v>-1457</v>
      </c>
      <c r="M18" s="16">
        <f>C18+D18</f>
        <v>-2760</v>
      </c>
      <c r="N18" s="16">
        <f>AVERAGE(M15:M18)</f>
        <v>1681</v>
      </c>
      <c r="O18" s="16">
        <f>-L18+O17</f>
        <v>13547</v>
      </c>
    </row>
    <row r="19" ht="20.05" customHeight="1">
      <c r="B19" s="31"/>
      <c r="C19" s="15">
        <v>848</v>
      </c>
      <c r="D19" s="16">
        <v>-219</v>
      </c>
      <c r="E19" s="16">
        <f>9986+42213+17383+1162-SUM(E16:E18)</f>
        <v>18368</v>
      </c>
      <c r="F19" s="16"/>
      <c r="G19" s="16">
        <v>2447</v>
      </c>
      <c r="H19" s="16">
        <f>4445.3-SUM(H16:H18)</f>
        <v>2024.3</v>
      </c>
      <c r="I19" s="16">
        <f>3386.8-SUM(I16:I18)</f>
        <v>3678.8</v>
      </c>
      <c r="J19" s="16">
        <v>-760.17675</v>
      </c>
      <c r="K19" s="16">
        <v>-335.364</v>
      </c>
      <c r="L19" s="16">
        <f>-4382-SUM(L16:L18)</f>
        <v>337</v>
      </c>
      <c r="M19" s="16">
        <f>C19+D19</f>
        <v>629</v>
      </c>
      <c r="N19" s="16">
        <f>AVERAGE(M16:M19)</f>
        <v>854.25</v>
      </c>
      <c r="O19" s="16">
        <f>-L19+O18</f>
        <v>13210</v>
      </c>
    </row>
    <row r="20" ht="20.05" customHeight="1">
      <c r="B20" s="33">
        <v>2019</v>
      </c>
      <c r="C20" s="15">
        <v>477</v>
      </c>
      <c r="D20" s="16">
        <v>-162</v>
      </c>
      <c r="E20" s="16">
        <f>2379+10851+3910+185</f>
        <v>17325</v>
      </c>
      <c r="F20" s="16"/>
      <c r="G20" s="16">
        <v>2379</v>
      </c>
      <c r="H20" s="16">
        <v>489</v>
      </c>
      <c r="I20" s="16">
        <v>1840.8</v>
      </c>
      <c r="J20" s="16">
        <v>634.384</v>
      </c>
      <c r="K20" s="16">
        <v>-361.17475</v>
      </c>
      <c r="L20" s="16">
        <v>648.7</v>
      </c>
      <c r="M20" s="16">
        <f>C20+D20</f>
        <v>315</v>
      </c>
      <c r="N20" s="16">
        <f>AVERAGE(M17:M20)</f>
        <v>952.5</v>
      </c>
      <c r="O20" s="16">
        <f>-L20+O19</f>
        <v>12561.3</v>
      </c>
    </row>
    <row r="21" ht="20.05" customHeight="1">
      <c r="B21" s="31"/>
      <c r="C21" s="15">
        <v>891</v>
      </c>
      <c r="D21" s="16">
        <v>-83</v>
      </c>
      <c r="E21" s="16">
        <f>5603.6+21858+7742+514-E20</f>
        <v>18392.6</v>
      </c>
      <c r="F21" s="16"/>
      <c r="G21" s="16">
        <v>3225</v>
      </c>
      <c r="H21" s="16">
        <f>-2939-H20</f>
        <v>-3428</v>
      </c>
      <c r="I21" s="16">
        <f>1243-I20</f>
        <v>-597.8</v>
      </c>
      <c r="J21" s="16">
        <v>634.384</v>
      </c>
      <c r="K21" s="16">
        <v>-361.17475</v>
      </c>
      <c r="L21" s="16">
        <f>2027-L20</f>
        <v>1378.3</v>
      </c>
      <c r="M21" s="16">
        <f>C21+D21</f>
        <v>808</v>
      </c>
      <c r="N21" s="16">
        <f>AVERAGE(M18:M21)</f>
        <v>-252</v>
      </c>
      <c r="O21" s="16">
        <f>-L21+O20</f>
        <v>11183</v>
      </c>
    </row>
    <row r="22" ht="20.05" customHeight="1">
      <c r="B22" s="31"/>
      <c r="C22" s="15">
        <v>1421</v>
      </c>
      <c r="D22" s="16">
        <v>-64</v>
      </c>
      <c r="E22" s="16">
        <f>7653.8+33597.5+11488.32+888.49-SUM(E20:E21)</f>
        <v>17910.51</v>
      </c>
      <c r="F22" s="16"/>
      <c r="G22" s="16">
        <v>2050</v>
      </c>
      <c r="H22" s="16">
        <f>-5533.23-SUM(H20:H21)</f>
        <v>-2594.23</v>
      </c>
      <c r="I22" s="16">
        <f>-1848.55-SUM(I20:I21)</f>
        <v>-3091.55</v>
      </c>
      <c r="J22" s="16">
        <v>634.384</v>
      </c>
      <c r="K22" s="16">
        <v>-361.17475</v>
      </c>
      <c r="L22" s="16">
        <f>1211-SUM(L20:L21)</f>
        <v>-816</v>
      </c>
      <c r="M22" s="16">
        <f>C22+D22</f>
        <v>1357</v>
      </c>
      <c r="N22" s="16">
        <f>AVERAGE(M19:M22)</f>
        <v>777.25</v>
      </c>
      <c r="O22" s="16">
        <f>-L22+O21</f>
        <v>11999</v>
      </c>
    </row>
    <row r="23" ht="20.05" customHeight="1">
      <c r="B23" s="31"/>
      <c r="C23" s="15">
        <v>1238</v>
      </c>
      <c r="D23" s="16">
        <v>-124</v>
      </c>
      <c r="E23" s="16">
        <f>11602+45405+15765+1089-SUM(E20:E22)</f>
        <v>20232.89</v>
      </c>
      <c r="F23" s="16"/>
      <c r="G23" s="16">
        <v>3948</v>
      </c>
      <c r="H23" s="16">
        <f>-9005-SUM(H20:H22)</f>
        <v>-3471.77</v>
      </c>
      <c r="I23" s="16">
        <f>2031-SUM(I20:I22)</f>
        <v>3879.55</v>
      </c>
      <c r="J23" s="16">
        <v>634.384</v>
      </c>
      <c r="K23" s="16">
        <v>-361.17475</v>
      </c>
      <c r="L23" s="16">
        <f>1093-SUM(L20:L22)</f>
        <v>-118</v>
      </c>
      <c r="M23" s="16">
        <f>C23+D23</f>
        <v>1114</v>
      </c>
      <c r="N23" s="16">
        <f>AVERAGE(M20:M23)</f>
        <v>898.5</v>
      </c>
      <c r="O23" s="16">
        <f>-L23+O22</f>
        <v>12117</v>
      </c>
    </row>
    <row r="24" ht="20.05" customHeight="1">
      <c r="B24" s="33">
        <v>2020</v>
      </c>
      <c r="C24" s="15">
        <v>4182</v>
      </c>
      <c r="D24" s="16">
        <v>-120</v>
      </c>
      <c r="E24" s="16">
        <f>2784+11991+4141+129</f>
        <v>19045</v>
      </c>
      <c r="F24" s="16"/>
      <c r="G24" s="16">
        <v>2784</v>
      </c>
      <c r="H24" s="16">
        <v>-600</v>
      </c>
      <c r="I24" s="16">
        <v>658.5</v>
      </c>
      <c r="J24" s="16">
        <f>1-1897.5+6.2+3104.7-2970.7-5.5</f>
        <v>-1761.8</v>
      </c>
      <c r="K24" s="16">
        <v>-83.59999999999999</v>
      </c>
      <c r="L24" s="16">
        <f>J24+K24</f>
        <v>-1845.4</v>
      </c>
      <c r="M24" s="16">
        <f>C24+D24</f>
        <v>4062</v>
      </c>
      <c r="N24" s="16">
        <f>AVERAGE(M21:M24)</f>
        <v>1835.25</v>
      </c>
      <c r="O24" s="16">
        <f>-L24+O23</f>
        <v>13962.4</v>
      </c>
    </row>
    <row r="25" ht="20.05" customHeight="1">
      <c r="B25" s="31"/>
      <c r="C25" s="15">
        <v>7133</v>
      </c>
      <c r="D25" s="16">
        <v>-68</v>
      </c>
      <c r="E25" s="16">
        <f>7012.7+22688.6+5318.6+1381-E24</f>
        <v>17355.9</v>
      </c>
      <c r="F25" s="16"/>
      <c r="G25" s="16">
        <v>4229</v>
      </c>
      <c r="H25" s="16">
        <f>8947-H24</f>
        <v>9547</v>
      </c>
      <c r="I25" s="16">
        <f>-3196-I24</f>
        <v>-3854.5</v>
      </c>
      <c r="J25" s="16">
        <f>-4659.3-K25-K24-J24</f>
        <v>-981.3</v>
      </c>
      <c r="K25" s="16">
        <f>-1916.2-K24</f>
        <v>-1832.6</v>
      </c>
      <c r="L25" s="16">
        <f>J25+K25</f>
        <v>-2813.9</v>
      </c>
      <c r="M25" s="16">
        <f>C25+D25</f>
        <v>7065</v>
      </c>
      <c r="N25" s="16">
        <f>AVERAGE(M22:M25)</f>
        <v>3399.5</v>
      </c>
      <c r="O25" s="16">
        <f>-L25+O24</f>
        <v>16776.3</v>
      </c>
    </row>
    <row r="26" ht="20.05" customHeight="1">
      <c r="B26" s="31"/>
      <c r="C26" s="15">
        <v>1229</v>
      </c>
      <c r="D26" s="16">
        <v>-20</v>
      </c>
      <c r="E26" s="16">
        <f>9672.6+28774+6975.27+1915.39-SUM(E24:E25)</f>
        <v>10936.36</v>
      </c>
      <c r="F26" s="16"/>
      <c r="G26" s="16">
        <v>2660</v>
      </c>
      <c r="H26" s="16">
        <f>6561.37-SUM(H24:H25)</f>
        <v>-2385.63</v>
      </c>
      <c r="I26" s="16">
        <f>-4284-SUM(I24:I25)</f>
        <v>-1088</v>
      </c>
      <c r="J26" s="16">
        <f>-4976.837-K26-K25-K24-J25-J24</f>
        <v>-317.537</v>
      </c>
      <c r="K26" s="16">
        <f>-1916.2-K25-K24</f>
        <v>0</v>
      </c>
      <c r="L26" s="16">
        <f>J26+K26</f>
        <v>-317.537</v>
      </c>
      <c r="M26" s="16">
        <f>C26+D26</f>
        <v>1209</v>
      </c>
      <c r="N26" s="16">
        <f>AVERAGE(M23:M26)</f>
        <v>3362.5</v>
      </c>
      <c r="O26" s="16">
        <f>-L26+O25</f>
        <v>17093.837</v>
      </c>
    </row>
    <row r="27" ht="20.05" customHeight="1">
      <c r="B27" s="31"/>
      <c r="C27" s="15">
        <v>9443</v>
      </c>
      <c r="D27" s="16">
        <v>-79</v>
      </c>
      <c r="E27" s="16">
        <v>20627.74</v>
      </c>
      <c r="F27" s="16"/>
      <c r="G27" s="16">
        <v>2166</v>
      </c>
      <c r="H27" s="16">
        <v>10744.63</v>
      </c>
      <c r="I27" s="16">
        <v>-998</v>
      </c>
      <c r="J27" s="16">
        <f>-8478.567-K27-K26-K25-K24-J26-J25-J24</f>
        <v>-3501.73</v>
      </c>
      <c r="K27" s="16">
        <f>-1916.2-K26-K25-K24</f>
        <v>0</v>
      </c>
      <c r="L27" s="16">
        <f>J27+K27</f>
        <v>-3501.73</v>
      </c>
      <c r="M27" s="16">
        <f>C27+D27</f>
        <v>9364</v>
      </c>
      <c r="N27" s="16">
        <f>AVERAGE(M24:M27)</f>
        <v>5425</v>
      </c>
      <c r="O27" s="16">
        <f>-L27+O26</f>
        <v>20595.567</v>
      </c>
    </row>
    <row r="28" ht="20.05" customHeight="1">
      <c r="B28" s="33">
        <v>2021</v>
      </c>
      <c r="C28" s="15">
        <v>1257</v>
      </c>
      <c r="D28" s="16">
        <v>-180</v>
      </c>
      <c r="E28" s="16">
        <f>227.4+10378.1+504.1+2119.6</f>
        <v>13229.2</v>
      </c>
      <c r="F28" s="16"/>
      <c r="G28" s="16">
        <v>227.4</v>
      </c>
      <c r="H28" s="35">
        <v>913</v>
      </c>
      <c r="I28" s="16">
        <v>-4144.7</v>
      </c>
      <c r="J28" s="16">
        <f>-1313-2134-13+57</f>
        <v>-3403</v>
      </c>
      <c r="K28" s="16">
        <v>0</v>
      </c>
      <c r="L28" s="16">
        <f>J28+K28</f>
        <v>-3403</v>
      </c>
      <c r="M28" s="16">
        <f>C28+D28</f>
        <v>1077</v>
      </c>
      <c r="N28" s="16">
        <f>AVERAGE(M25:M28)</f>
        <v>4678.75</v>
      </c>
      <c r="O28" s="16">
        <f>-L28+O27</f>
        <v>23998.567</v>
      </c>
    </row>
    <row r="29" ht="20.05" customHeight="1">
      <c r="B29" s="31"/>
      <c r="C29" s="15">
        <v>2590</v>
      </c>
      <c r="D29" s="16">
        <v>-64</v>
      </c>
      <c r="E29" s="16">
        <f>3039.4+20075.4+890.2+4983.5-E28</f>
        <v>15759.3</v>
      </c>
      <c r="F29" s="16"/>
      <c r="G29" s="16">
        <f>3039.4-G28</f>
        <v>2812</v>
      </c>
      <c r="H29" s="16">
        <f>4992.4-H28</f>
        <v>4079.4</v>
      </c>
      <c r="I29" s="16">
        <f>-5569.8-I28</f>
        <v>-1425.1</v>
      </c>
      <c r="J29" s="16">
        <f>-4401.6-K29-J28-K28</f>
        <v>-679.9</v>
      </c>
      <c r="K29" s="16">
        <f>-318.7-K28</f>
        <v>-318.7</v>
      </c>
      <c r="L29" s="16">
        <f>J29+K29</f>
        <v>-998.6</v>
      </c>
      <c r="M29" s="16">
        <f>C29+D29</f>
        <v>2526</v>
      </c>
      <c r="N29" s="16">
        <f>AVERAGE(M26:M29)</f>
        <v>3544</v>
      </c>
      <c r="O29" s="16">
        <f>-L29+O28</f>
        <v>24997.167</v>
      </c>
    </row>
    <row r="30" ht="20.05" customHeight="1">
      <c r="B30" s="31"/>
      <c r="C30" s="15">
        <f>10107.4-SUM(C28:C29)</f>
        <v>6260.4</v>
      </c>
      <c r="D30" s="16">
        <f>-339.9-SUM(D28:D29)</f>
        <v>-95.90000000000001</v>
      </c>
      <c r="E30" s="16">
        <f>6885.9+30845.1+8222.5+1202.2-SUM(E28:E29)</f>
        <v>18167.2</v>
      </c>
      <c r="F30" s="16"/>
      <c r="G30" s="16">
        <f>6885.9-SUM(G28:G29)</f>
        <v>3846.5</v>
      </c>
      <c r="H30" s="16">
        <f>9716.8-SUM(H28:H29)</f>
        <v>4724.4</v>
      </c>
      <c r="I30" s="16">
        <f>-6705.9-SUM(I28:I29)</f>
        <v>-1136.1</v>
      </c>
      <c r="J30" s="16">
        <f>-6159.959-K30-K29-K28-J29-J28</f>
        <v>-1683.359</v>
      </c>
      <c r="K30" s="16">
        <f>-393.7-K29-K28</f>
        <v>-75</v>
      </c>
      <c r="L30" s="16">
        <f>J30+K30</f>
        <v>-1758.359</v>
      </c>
      <c r="M30" s="16">
        <f>C30+D30</f>
        <v>6164.5</v>
      </c>
      <c r="N30" s="16">
        <f>AVERAGE(M27:M30)</f>
        <v>4782.875</v>
      </c>
      <c r="O30" s="16">
        <f>-L30+O29</f>
        <v>26755.526</v>
      </c>
    </row>
    <row r="31" ht="20.05" customHeight="1">
      <c r="B31" s="31"/>
      <c r="C31" s="40"/>
      <c r="D31" s="34"/>
      <c r="E31" s="34"/>
      <c r="F31" s="16">
        <f>'Model'!C6</f>
        <v>18893.888</v>
      </c>
      <c r="G31" s="16"/>
      <c r="H31" s="16"/>
      <c r="I31" s="16"/>
      <c r="J31" s="16"/>
      <c r="K31" s="34"/>
      <c r="L31" s="34"/>
      <c r="M31" s="34"/>
      <c r="N31" s="16">
        <f>SUM('Model'!F9:F10)</f>
        <v>6724.642238208</v>
      </c>
      <c r="O31" s="16">
        <f>'Model'!F31</f>
        <v>27815.6382576704</v>
      </c>
    </row>
    <row r="32" ht="20.05" customHeight="1">
      <c r="B32" s="33">
        <v>2022</v>
      </c>
      <c r="C32" s="40"/>
      <c r="D32" s="34"/>
      <c r="E32" s="34"/>
      <c r="F32" s="16">
        <f>'Model'!D6</f>
        <v>18704.94912</v>
      </c>
      <c r="G32" s="16"/>
      <c r="H32" s="16"/>
      <c r="I32" s="16"/>
      <c r="J32" s="16"/>
      <c r="K32" s="34"/>
      <c r="L32" s="34"/>
      <c r="M32" s="34"/>
      <c r="N32" s="16"/>
      <c r="O32" s="34"/>
    </row>
    <row r="33" ht="20.05" customHeight="1">
      <c r="B33" s="31"/>
      <c r="C33" s="40"/>
      <c r="D33" s="34"/>
      <c r="E33" s="34"/>
      <c r="F33" s="16">
        <f>'Model'!E6</f>
        <v>19266.0975936</v>
      </c>
      <c r="G33" s="16"/>
      <c r="H33" s="16"/>
      <c r="I33" s="16"/>
      <c r="J33" s="16"/>
      <c r="K33" s="34"/>
      <c r="L33" s="34"/>
      <c r="M33" s="34"/>
      <c r="N33" s="16"/>
      <c r="O33" s="34"/>
    </row>
    <row r="34" ht="20.05" customHeight="1">
      <c r="B34" s="31"/>
      <c r="C34" s="40"/>
      <c r="D34" s="34"/>
      <c r="E34" s="34"/>
      <c r="F34" s="16">
        <f>'Model'!F6</f>
        <v>20036.741497344</v>
      </c>
      <c r="G34" s="16"/>
      <c r="H34" s="16"/>
      <c r="I34" s="16"/>
      <c r="J34" s="16"/>
      <c r="K34" s="34"/>
      <c r="L34" s="34"/>
      <c r="M34" s="34"/>
      <c r="N34" s="16"/>
      <c r="O34" s="34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41" customWidth="1"/>
    <col min="2" max="5" width="11.3906" style="41" customWidth="1"/>
    <col min="6" max="11" width="12.5469" style="41" customWidth="1"/>
    <col min="12" max="16384" width="16.3516" style="41" customWidth="1"/>
  </cols>
  <sheetData>
    <row r="1" ht="16.3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3">
        <v>1</v>
      </c>
      <c r="C3" t="s" s="23">
        <v>57</v>
      </c>
      <c r="D3" t="s" s="23">
        <v>58</v>
      </c>
      <c r="E3" t="s" s="23">
        <v>22</v>
      </c>
      <c r="F3" t="s" s="23">
        <v>59</v>
      </c>
      <c r="G3" t="s" s="23">
        <v>24</v>
      </c>
      <c r="H3" t="s" s="23">
        <v>25</v>
      </c>
      <c r="I3" t="s" s="23">
        <v>26</v>
      </c>
      <c r="J3" t="s" s="23">
        <v>60</v>
      </c>
      <c r="K3" t="s" s="23">
        <v>61</v>
      </c>
    </row>
    <row r="4" ht="21.1" customHeight="1">
      <c r="B4" s="24">
        <v>2015</v>
      </c>
      <c r="C4" s="25">
        <v>2016</v>
      </c>
      <c r="D4" s="26">
        <v>193811</v>
      </c>
      <c r="E4" s="26">
        <f>D4-C4</f>
        <v>191795</v>
      </c>
      <c r="F4" s="26">
        <f>30+2733+1786+33+1121+2982+21+6+3</f>
        <v>8715</v>
      </c>
      <c r="G4" s="26">
        <v>160054</v>
      </c>
      <c r="H4" s="26">
        <v>33757</v>
      </c>
      <c r="I4" s="26">
        <f>G4+H4-C4-E4</f>
        <v>0</v>
      </c>
      <c r="J4" s="42"/>
      <c r="K4" s="42"/>
    </row>
    <row r="5" ht="21.1" customHeight="1">
      <c r="B5" s="31"/>
      <c r="C5" s="11">
        <v>2387</v>
      </c>
      <c r="D5" s="12">
        <v>200091</v>
      </c>
      <c r="E5" s="12">
        <f>D5-C5</f>
        <v>197704</v>
      </c>
      <c r="F5" s="12">
        <f>29+2739+1824+34+1116+3123+1+5+3</f>
        <v>8874</v>
      </c>
      <c r="G5" s="12">
        <v>166799</v>
      </c>
      <c r="H5" s="12">
        <v>33292</v>
      </c>
      <c r="I5" s="12">
        <f>G5+H5-C5-E5</f>
        <v>0</v>
      </c>
      <c r="J5" s="43">
        <f>E5/E4-1</f>
        <v>0.0308089366250424</v>
      </c>
      <c r="K5" s="43">
        <f>G5/G4-1</f>
        <v>0.0421420270658653</v>
      </c>
    </row>
    <row r="6" ht="21.1" customHeight="1">
      <c r="B6" s="31"/>
      <c r="C6" s="11">
        <v>2167</v>
      </c>
      <c r="D6" s="12">
        <v>195011</v>
      </c>
      <c r="E6" s="12">
        <f>D6-C6</f>
        <v>192844</v>
      </c>
      <c r="F6" s="12">
        <f>29+2809+1858+12+34+1099+3140+5+3</f>
        <v>8989</v>
      </c>
      <c r="G6" s="12">
        <v>161086</v>
      </c>
      <c r="H6" s="12">
        <v>33925</v>
      </c>
      <c r="I6" s="12">
        <f>G6+H6-C6-E6</f>
        <v>0</v>
      </c>
      <c r="J6" s="43">
        <f>E6/E5-1</f>
        <v>-0.0245822036984583</v>
      </c>
      <c r="K6" s="43">
        <f>G6/G5-1</f>
        <v>-0.0342508048609404</v>
      </c>
    </row>
    <row r="7" ht="21.1" customHeight="1">
      <c r="B7" s="31"/>
      <c r="C7" s="11">
        <v>2728</v>
      </c>
      <c r="D7" s="12">
        <v>188057</v>
      </c>
      <c r="E7" s="12">
        <f>D7-C7</f>
        <v>185329</v>
      </c>
      <c r="F7" s="12">
        <f>2+6+3360+1081+35+15+1766+2660+30</f>
        <v>8955</v>
      </c>
      <c r="G7" s="12">
        <v>153842</v>
      </c>
      <c r="H7" s="12">
        <v>34215</v>
      </c>
      <c r="I7" s="12">
        <f>G7+H7-C7-E7</f>
        <v>0</v>
      </c>
      <c r="J7" s="43">
        <f>E7/E6-1</f>
        <v>-0.0389693223538197</v>
      </c>
      <c r="K7" s="43">
        <f>G7/G6-1</f>
        <v>-0.0449697677017245</v>
      </c>
    </row>
    <row r="8" ht="21.1" customHeight="1">
      <c r="B8" s="33">
        <v>2016</v>
      </c>
      <c r="C8" s="11">
        <v>1923</v>
      </c>
      <c r="D8" s="12">
        <v>179334</v>
      </c>
      <c r="E8" s="12">
        <f>D8-C8</f>
        <v>177411</v>
      </c>
      <c r="F8" s="12">
        <f>30+2727+1794+23+35+1047+3475+2+2</f>
        <v>9135</v>
      </c>
      <c r="G8" s="12">
        <v>144078</v>
      </c>
      <c r="H8" s="12">
        <v>35256</v>
      </c>
      <c r="I8" s="12">
        <f>G8+H8-C8-E8</f>
        <v>0</v>
      </c>
      <c r="J8" s="43">
        <f>E8/E7-1</f>
        <v>-0.0427240205256598</v>
      </c>
      <c r="K8" s="43">
        <f>G8/G7-1</f>
        <v>-0.063467713628268</v>
      </c>
    </row>
    <row r="9" ht="20.9" customHeight="1">
      <c r="B9" s="31"/>
      <c r="C9" s="11">
        <v>2323</v>
      </c>
      <c r="D9" s="12">
        <v>174858</v>
      </c>
      <c r="E9" s="12">
        <f>D9-C9</f>
        <v>172535</v>
      </c>
      <c r="F9" s="12">
        <f>26+2781+1823+23+34+1087+3453+2+1</f>
        <v>9230</v>
      </c>
      <c r="G9" s="12">
        <v>139458</v>
      </c>
      <c r="H9" s="12">
        <v>35400</v>
      </c>
      <c r="I9" s="12">
        <f>G9+H9-C9-E9</f>
        <v>0</v>
      </c>
      <c r="J9" s="43">
        <f>E9/E8-1</f>
        <v>-0.0274842033470303</v>
      </c>
      <c r="K9" s="43">
        <f>G9/G8-1</f>
        <v>-0.0320659642693541</v>
      </c>
    </row>
    <row r="10" ht="20.9" customHeight="1">
      <c r="B10" s="31"/>
      <c r="C10" s="11">
        <v>1926</v>
      </c>
      <c r="D10" s="12">
        <v>174686</v>
      </c>
      <c r="E10" s="12">
        <f>D10-C10</f>
        <v>172760</v>
      </c>
      <c r="F10" s="12">
        <f>24+2857+1852+23+34+1119+3362+20+4+1</f>
        <v>9296</v>
      </c>
      <c r="G10" s="12">
        <v>138418</v>
      </c>
      <c r="H10" s="12">
        <v>36268</v>
      </c>
      <c r="I10" s="12">
        <f>G10+H10-C10-E10</f>
        <v>0</v>
      </c>
      <c r="J10" s="43">
        <f>E10/E9-1</f>
        <v>0.00130408322948967</v>
      </c>
      <c r="K10" s="43">
        <f>G10/G9-1</f>
        <v>-0.00745744238408697</v>
      </c>
    </row>
    <row r="11" ht="20.9" customHeight="1">
      <c r="B11" s="31"/>
      <c r="C11" s="11">
        <v>2265</v>
      </c>
      <c r="D11" s="12">
        <v>174436</v>
      </c>
      <c r="E11" s="12">
        <f>D11-C11</f>
        <v>172171</v>
      </c>
      <c r="F11" s="12">
        <f>1+3+38+3327+1211+30+33+1883+2900+23</f>
        <v>9449</v>
      </c>
      <c r="G11" s="12">
        <v>138058</v>
      </c>
      <c r="H11" s="12">
        <v>36378</v>
      </c>
      <c r="I11" s="12">
        <f>G11+H11-C11-E11</f>
        <v>0</v>
      </c>
      <c r="J11" s="43">
        <f>E11/E10-1</f>
        <v>-0.0034093540171336</v>
      </c>
      <c r="K11" s="43">
        <f>G11/G10-1</f>
        <v>-0.00260081781271222</v>
      </c>
    </row>
    <row r="12" ht="20.9" customHeight="1">
      <c r="B12" s="33">
        <v>2017</v>
      </c>
      <c r="C12" s="11">
        <v>1911</v>
      </c>
      <c r="D12" s="12">
        <v>171149</v>
      </c>
      <c r="E12" s="12">
        <f>D12-C12</f>
        <v>169238</v>
      </c>
      <c r="F12" s="12">
        <f>21+2970+1914+33+26+1240+3308+43+4</f>
        <v>9559</v>
      </c>
      <c r="G12" s="12">
        <v>133648</v>
      </c>
      <c r="H12" s="12">
        <v>37501</v>
      </c>
      <c r="I12" s="12">
        <f>G12+H12-C12-E12</f>
        <v>0</v>
      </c>
      <c r="J12" s="43">
        <f>E12/E11-1</f>
        <v>-0.0170353892351209</v>
      </c>
      <c r="K12" s="43">
        <f>G12/G11-1</f>
        <v>-0.0319430963797824</v>
      </c>
    </row>
    <row r="13" ht="20.9" customHeight="1">
      <c r="B13" s="31"/>
      <c r="C13" s="11">
        <v>3307</v>
      </c>
      <c r="D13" s="12">
        <v>176136</v>
      </c>
      <c r="E13" s="12">
        <f>D13-C13</f>
        <v>172829</v>
      </c>
      <c r="F13" s="12">
        <f>21+3000+1943+33+20+1291+3379+47+3+2</f>
        <v>9739</v>
      </c>
      <c r="G13" s="12">
        <v>138600</v>
      </c>
      <c r="H13" s="12">
        <v>37536</v>
      </c>
      <c r="I13" s="12">
        <f>G13+H13-C13-E13</f>
        <v>0</v>
      </c>
      <c r="J13" s="43">
        <f>E13/E12-1</f>
        <v>0.0212186388399768</v>
      </c>
      <c r="K13" s="43">
        <f>G13/G12-1</f>
        <v>0.0370525559679157</v>
      </c>
    </row>
    <row r="14" ht="20.9" customHeight="1">
      <c r="B14" s="31"/>
      <c r="C14" s="11">
        <v>1991</v>
      </c>
      <c r="D14" s="12">
        <v>173679</v>
      </c>
      <c r="E14" s="12">
        <f>D14-C14</f>
        <v>171688</v>
      </c>
      <c r="F14" s="12">
        <f>18+3057+1976+33+18+1301+3411+43+3+1</f>
        <v>9861</v>
      </c>
      <c r="G14" s="12">
        <v>135157</v>
      </c>
      <c r="H14" s="12">
        <v>38522</v>
      </c>
      <c r="I14" s="12">
        <f>G14+H14-C14-E14</f>
        <v>0</v>
      </c>
      <c r="J14" s="43">
        <f>E14/E13-1</f>
        <v>-0.00660190130128624</v>
      </c>
      <c r="K14" s="43">
        <f>G14/G13-1</f>
        <v>-0.0248412698412698</v>
      </c>
    </row>
    <row r="15" ht="20.9" customHeight="1">
      <c r="B15" s="31"/>
      <c r="C15" s="11">
        <v>2546</v>
      </c>
      <c r="D15" s="12">
        <v>178257</v>
      </c>
      <c r="E15" s="12">
        <f>D15-C15</f>
        <v>175711</v>
      </c>
      <c r="F15" s="12">
        <f>29+3046+2002+39+15+1333+2923+42+2+1</f>
        <v>9432</v>
      </c>
      <c r="G15" s="12">
        <v>139085</v>
      </c>
      <c r="H15" s="12">
        <v>39172</v>
      </c>
      <c r="I15" s="12">
        <f>G15+H15-C15-E15</f>
        <v>0</v>
      </c>
      <c r="J15" s="43">
        <f>E15/E14-1</f>
        <v>0.0234320395135362</v>
      </c>
      <c r="K15" s="43">
        <f>G15/G14-1</f>
        <v>0.0290624976878741</v>
      </c>
    </row>
    <row r="16" ht="20.9" customHeight="1">
      <c r="B16" s="33">
        <v>2018</v>
      </c>
      <c r="C16" s="11">
        <v>2038</v>
      </c>
      <c r="D16" s="12">
        <v>179555</v>
      </c>
      <c r="E16" s="12">
        <f>D16-C16</f>
        <v>177517</v>
      </c>
      <c r="F16" s="12">
        <f>34+3093+2042+39+11+1365+3053+54+2+1</f>
        <v>9694</v>
      </c>
      <c r="G16" s="12">
        <v>140666</v>
      </c>
      <c r="H16" s="12">
        <v>38889</v>
      </c>
      <c r="I16" s="12">
        <f>G16+H16-C16-E16</f>
        <v>0</v>
      </c>
      <c r="J16" s="43">
        <f>E16/E15-1</f>
        <v>0.0102782409752377</v>
      </c>
      <c r="K16" s="43">
        <f>G16/G15-1</f>
        <v>0.0113671495847863</v>
      </c>
    </row>
    <row r="17" ht="20.9" customHeight="1">
      <c r="B17" s="31"/>
      <c r="C17" s="11">
        <v>3095</v>
      </c>
      <c r="D17" s="12">
        <v>182416</v>
      </c>
      <c r="E17" s="12">
        <f>D17-C17</f>
        <v>179321</v>
      </c>
      <c r="F17" s="12">
        <f>43+3111+2083+45+9+1409+3188+74+1</f>
        <v>9963</v>
      </c>
      <c r="G17" s="12">
        <v>142737</v>
      </c>
      <c r="H17" s="12">
        <v>39679</v>
      </c>
      <c r="I17" s="12">
        <f>G17+H17-C17-E17</f>
        <v>0</v>
      </c>
      <c r="J17" s="43">
        <f>E17/E16-1</f>
        <v>0.0101624069807399</v>
      </c>
      <c r="K17" s="43">
        <f>G17/G16-1</f>
        <v>0.0147228185915573</v>
      </c>
    </row>
    <row r="18" ht="20.9" customHeight="1">
      <c r="B18" s="31"/>
      <c r="C18" s="11">
        <v>1855</v>
      </c>
      <c r="D18" s="12">
        <v>178635</v>
      </c>
      <c r="E18" s="12">
        <f>D18-C18</f>
        <v>176780</v>
      </c>
      <c r="F18" s="12">
        <f>61+3023+2109+7+1417+2854+92+1</f>
        <v>9564</v>
      </c>
      <c r="G18" s="12">
        <v>137911</v>
      </c>
      <c r="H18" s="12">
        <v>40724</v>
      </c>
      <c r="I18" s="12">
        <f>G18+H18-C18-E18</f>
        <v>0</v>
      </c>
      <c r="J18" s="43">
        <f>E18/E17-1</f>
        <v>-0.0141701195063601</v>
      </c>
      <c r="K18" s="43">
        <f>G18/G17-1</f>
        <v>-0.033810434575478</v>
      </c>
    </row>
    <row r="19" ht="20.9" customHeight="1">
      <c r="B19" s="31"/>
      <c r="C19" s="11">
        <v>2824</v>
      </c>
      <c r="D19" s="12">
        <v>186762</v>
      </c>
      <c r="E19" s="12">
        <f>D19-C19</f>
        <v>183938</v>
      </c>
      <c r="F19" s="12">
        <f>71+2981+2152+7+1436+2921+42+1</f>
        <v>9611</v>
      </c>
      <c r="G19" s="12">
        <v>144822</v>
      </c>
      <c r="H19" s="12">
        <v>41940</v>
      </c>
      <c r="I19" s="12">
        <f>G19+H19-C19-E19</f>
        <v>0</v>
      </c>
      <c r="J19" s="43">
        <f>E19/E18-1</f>
        <v>0.0404910057698835</v>
      </c>
      <c r="K19" s="43">
        <f>G19/G18-1</f>
        <v>0.0501120287721792</v>
      </c>
    </row>
    <row r="20" ht="20.9" customHeight="1">
      <c r="B20" s="33">
        <v>2019</v>
      </c>
      <c r="C20" s="11">
        <v>1696</v>
      </c>
      <c r="D20" s="12">
        <v>190042</v>
      </c>
      <c r="E20" s="12">
        <f>D20-C20</f>
        <v>188346</v>
      </c>
      <c r="F20" s="12">
        <f>78+2979+2200+7+1503+2686+39+1</f>
        <v>9493</v>
      </c>
      <c r="G20" s="12">
        <v>148520</v>
      </c>
      <c r="H20" s="12">
        <v>41522</v>
      </c>
      <c r="I20" s="12">
        <f>G20+H20-C20-E20</f>
        <v>0</v>
      </c>
      <c r="J20" s="43">
        <f>E20/E19-1</f>
        <v>0.0239645967663017</v>
      </c>
      <c r="K20" s="43">
        <f>G20/G19-1</f>
        <v>0.0255347944373092</v>
      </c>
    </row>
    <row r="21" ht="20.9" customHeight="1">
      <c r="B21" s="31"/>
      <c r="C21" s="11">
        <v>2236</v>
      </c>
      <c r="D21" s="12">
        <v>198590</v>
      </c>
      <c r="E21" s="12">
        <f>D21-C21</f>
        <v>196354</v>
      </c>
      <c r="F21" s="12">
        <f>3+35+2724+1514+10+2264+3051+80</f>
        <v>9681</v>
      </c>
      <c r="G21" s="12">
        <v>155332</v>
      </c>
      <c r="H21" s="12">
        <v>43258</v>
      </c>
      <c r="I21" s="12">
        <f>G21+H21-C21-E21</f>
        <v>0</v>
      </c>
      <c r="J21" s="43">
        <f>E21/E20-1</f>
        <v>0.0425174943986068</v>
      </c>
      <c r="K21" s="43">
        <f>G21/G20-1</f>
        <v>0.0458658766496095</v>
      </c>
    </row>
    <row r="22" ht="20.9" customHeight="1">
      <c r="B22" s="31"/>
      <c r="C22" s="11">
        <v>2126</v>
      </c>
      <c r="D22" s="12">
        <v>195826</v>
      </c>
      <c r="E22" s="12">
        <f>D22-C22</f>
        <v>193700</v>
      </c>
      <c r="F22" s="12">
        <f>87+3072+2314+12+1538+2931+27+2</f>
        <v>9983</v>
      </c>
      <c r="G22" s="12">
        <v>151701</v>
      </c>
      <c r="H22" s="12">
        <v>44125</v>
      </c>
      <c r="I22" s="12">
        <f>G22+H22-C22-E22</f>
        <v>0</v>
      </c>
      <c r="J22" s="43">
        <f>E22/E21-1</f>
        <v>-0.0135164040457541</v>
      </c>
      <c r="K22" s="43">
        <f>G22/G21-1</f>
        <v>-0.0233757371307908</v>
      </c>
    </row>
    <row r="23" ht="20.9" customHeight="1">
      <c r="B23" s="31"/>
      <c r="C23" s="11">
        <f>2951+5403+16+2600+190+5401</f>
        <v>16561</v>
      </c>
      <c r="D23" s="12">
        <v>193534</v>
      </c>
      <c r="E23" s="12">
        <f>D23-C23</f>
        <v>176973</v>
      </c>
      <c r="F23" s="12">
        <f>149+2985+2328+10+1564+3106+27+2+1</f>
        <v>10172</v>
      </c>
      <c r="G23" s="12">
        <v>148117</v>
      </c>
      <c r="H23" s="12">
        <v>45417</v>
      </c>
      <c r="I23" s="12">
        <f>G23+H23-C23-E23</f>
        <v>0</v>
      </c>
      <c r="J23" s="43">
        <f>E23/E22-1</f>
        <v>-0.0863551884357253</v>
      </c>
      <c r="K23" s="43">
        <f>G23/G22-1</f>
        <v>-0.0236254210585296</v>
      </c>
    </row>
    <row r="24" ht="20.9" customHeight="1">
      <c r="B24" s="33">
        <v>2020</v>
      </c>
      <c r="C24" s="11">
        <v>2104</v>
      </c>
      <c r="D24" s="12">
        <v>203213</v>
      </c>
      <c r="E24" s="12">
        <f>D24-C24</f>
        <v>201109</v>
      </c>
      <c r="F24" s="12">
        <f>169+3022+2378+1+7+1740+4521+28+3+2</f>
        <v>11871</v>
      </c>
      <c r="G24" s="12">
        <v>159935</v>
      </c>
      <c r="H24" s="12">
        <v>43278</v>
      </c>
      <c r="I24" s="12">
        <f>G24+H24-C24-E24</f>
        <v>0</v>
      </c>
      <c r="J24" s="43">
        <f>E24/E23-1</f>
        <v>0.136382386013686</v>
      </c>
      <c r="K24" s="43">
        <f>G24/G23-1</f>
        <v>0.07978827548492071</v>
      </c>
    </row>
    <row r="25" ht="20.9" customHeight="1">
      <c r="B25" s="31"/>
      <c r="C25" s="11">
        <f>2116+3132+8+1924+196+7295</f>
        <v>14671</v>
      </c>
      <c r="D25" s="12">
        <v>194441</v>
      </c>
      <c r="E25" s="12">
        <f>D25-C25</f>
        <v>179770</v>
      </c>
      <c r="F25" s="12">
        <f>178+3030+2429+4+19+1829+4951+16+2+2</f>
        <v>12460</v>
      </c>
      <c r="G25" s="12">
        <v>151294</v>
      </c>
      <c r="H25" s="12">
        <v>43147</v>
      </c>
      <c r="I25" s="12">
        <f>G25+H25-C25-E25</f>
        <v>0</v>
      </c>
      <c r="J25" s="43">
        <f>E25/E24-1</f>
        <v>-0.106106638688472</v>
      </c>
      <c r="K25" s="43">
        <f>G25/G24-1</f>
        <v>-0.0540281989558258</v>
      </c>
    </row>
    <row r="26" ht="20.9" customHeight="1">
      <c r="B26" s="31"/>
      <c r="C26" s="11">
        <f>1923+3758+27+3332+198+1469</f>
        <v>10707</v>
      </c>
      <c r="D26" s="12">
        <v>196631</v>
      </c>
      <c r="E26" s="12">
        <f>D26-C26</f>
        <v>185924</v>
      </c>
      <c r="F26" s="12">
        <f>F25</f>
        <v>12460</v>
      </c>
      <c r="G26" s="12">
        <v>152654</v>
      </c>
      <c r="H26" s="12">
        <v>43977</v>
      </c>
      <c r="I26" s="12">
        <f>G26+H26-C26-E26</f>
        <v>0</v>
      </c>
      <c r="J26" s="43">
        <f>E26/E25-1</f>
        <v>0.0342326305835234</v>
      </c>
      <c r="K26" s="43">
        <f>G26/G25-1</f>
        <v>0.00898912052031145</v>
      </c>
    </row>
    <row r="27" ht="20.9" customHeight="1">
      <c r="B27" s="31"/>
      <c r="C27" s="11">
        <f>2838+2187+5+4412+7304</f>
        <v>16746</v>
      </c>
      <c r="D27" s="12">
        <v>200890</v>
      </c>
      <c r="E27" s="12">
        <f>D27-C27</f>
        <v>184144</v>
      </c>
      <c r="F27" s="12">
        <f>2+12+5455+1911+6+5+2523+3273+236</f>
        <v>13423</v>
      </c>
      <c r="G27" s="12">
        <v>157315</v>
      </c>
      <c r="H27" s="12">
        <v>43575</v>
      </c>
      <c r="I27" s="12">
        <f>G27+H27-C27-E27</f>
        <v>0</v>
      </c>
      <c r="J27" s="43">
        <f>E27/E26-1</f>
        <v>-0.00957380435016458</v>
      </c>
      <c r="K27" s="43">
        <f>G27/G26-1</f>
        <v>0.0305331009996463</v>
      </c>
    </row>
    <row r="28" ht="20.9" customHeight="1">
      <c r="B28" s="33">
        <v>2021</v>
      </c>
      <c r="C28" s="11">
        <f>1954+3560+88+2021+4515</f>
        <v>12138</v>
      </c>
      <c r="D28" s="12">
        <v>193993</v>
      </c>
      <c r="E28" s="12">
        <f>D28-C28</f>
        <v>181855</v>
      </c>
      <c r="F28" s="12">
        <f>2548+3321+4+5+1882+5308+15+1</f>
        <v>13084</v>
      </c>
      <c r="G28" s="12">
        <v>150023</v>
      </c>
      <c r="H28" s="12">
        <v>43970</v>
      </c>
      <c r="I28" s="12">
        <f>G28+H28-C28-E28</f>
        <v>0</v>
      </c>
      <c r="J28" s="43">
        <f>E28/E27-1</f>
        <v>-0.012430489182379</v>
      </c>
      <c r="K28" s="43">
        <f>G28/G27-1</f>
        <v>-0.0463528589136446</v>
      </c>
    </row>
    <row r="29" ht="20.9" customHeight="1">
      <c r="B29" s="31"/>
      <c r="C29" s="11">
        <f>1982+4379+46+2374+4762</f>
        <v>13543</v>
      </c>
      <c r="D29" s="12">
        <v>193751</v>
      </c>
      <c r="E29" s="12">
        <f>D29-C29</f>
        <v>180208</v>
      </c>
      <c r="F29" s="12">
        <f>2604+3397+273+4+9+1635+5067+18+1</f>
        <v>13008</v>
      </c>
      <c r="G29" s="12">
        <v>149499</v>
      </c>
      <c r="H29" s="12">
        <v>44252</v>
      </c>
      <c r="I29" s="12">
        <f>G29+H29-C29-E29</f>
        <v>0</v>
      </c>
      <c r="J29" s="43">
        <f>E29/E28-1</f>
        <v>-0.00905666602512991</v>
      </c>
      <c r="K29" s="43">
        <f>G29/G28-1</f>
        <v>-0.00349279777100845</v>
      </c>
    </row>
    <row r="30" ht="20.9" customHeight="1">
      <c r="B30" s="31"/>
      <c r="C30" s="11">
        <f>1876+3309+135+2489+7065</f>
        <v>14874</v>
      </c>
      <c r="D30" s="12">
        <v>188280</v>
      </c>
      <c r="E30" s="12">
        <f>D30-C30</f>
        <v>173406</v>
      </c>
      <c r="F30" s="12">
        <f>275+3474+2660+3+9+1431+5021+17+2</f>
        <v>12892</v>
      </c>
      <c r="G30" s="12">
        <v>143524</v>
      </c>
      <c r="H30" s="12">
        <v>44756</v>
      </c>
      <c r="I30" s="12">
        <f>G30+H30-C30-E30</f>
        <v>0</v>
      </c>
      <c r="J30" s="43">
        <f>E30/E29-1</f>
        <v>-0.0377452721299831</v>
      </c>
      <c r="K30" s="43">
        <f>G30/G29-1</f>
        <v>-0.039966822520552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8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4" customWidth="1"/>
    <col min="2" max="2" width="6.86719" style="44" customWidth="1"/>
    <col min="3" max="4" width="8.32031" style="44" customWidth="1"/>
    <col min="5" max="16384" width="16.3516" style="44" customWidth="1"/>
  </cols>
  <sheetData>
    <row r="1" ht="7.3" customHeight="1"/>
    <row r="2" ht="27.65" customHeight="1">
      <c r="B2" t="s" s="2">
        <v>62</v>
      </c>
      <c r="C2" s="2"/>
      <c r="D2" s="2"/>
    </row>
    <row r="3" ht="20.25" customHeight="1">
      <c r="B3" s="4"/>
      <c r="C3" t="s" s="3">
        <v>63</v>
      </c>
      <c r="D3" t="s" s="3">
        <v>64</v>
      </c>
    </row>
    <row r="4" ht="20.25" customHeight="1">
      <c r="B4" s="24">
        <v>2015</v>
      </c>
      <c r="C4" s="45">
        <v>4400</v>
      </c>
      <c r="D4" s="46"/>
    </row>
    <row r="5" ht="20.05" customHeight="1">
      <c r="B5" s="31"/>
      <c r="C5" s="47">
        <v>4800</v>
      </c>
      <c r="D5" s="18"/>
    </row>
    <row r="6" ht="20.05" customHeight="1">
      <c r="B6" s="31"/>
      <c r="C6" s="47">
        <v>5125</v>
      </c>
      <c r="D6" s="18"/>
    </row>
    <row r="7" ht="20.05" customHeight="1">
      <c r="B7" s="31"/>
      <c r="C7" s="47">
        <v>3970</v>
      </c>
      <c r="D7" s="18"/>
    </row>
    <row r="8" ht="20.05" customHeight="1">
      <c r="B8" s="31"/>
      <c r="C8" s="47">
        <v>4420</v>
      </c>
      <c r="D8" s="18"/>
    </row>
    <row r="9" ht="20.05" customHeight="1">
      <c r="B9" s="31"/>
      <c r="C9" s="47">
        <v>4300</v>
      </c>
      <c r="D9" s="18"/>
    </row>
    <row r="10" ht="20.05" customHeight="1">
      <c r="B10" s="31"/>
      <c r="C10" s="47">
        <v>4200</v>
      </c>
      <c r="D10" s="18"/>
    </row>
    <row r="11" ht="20.05" customHeight="1">
      <c r="B11" s="31"/>
      <c r="C11" s="47">
        <v>3535</v>
      </c>
      <c r="D11" s="18"/>
    </row>
    <row r="12" ht="20.05" customHeight="1">
      <c r="B12" s="31"/>
      <c r="C12" s="47">
        <v>2895</v>
      </c>
      <c r="D12" s="18"/>
    </row>
    <row r="13" ht="20.05" customHeight="1">
      <c r="B13" s="31"/>
      <c r="C13" s="47">
        <v>2760</v>
      </c>
      <c r="D13" s="18"/>
    </row>
    <row r="14" ht="20.05" customHeight="1">
      <c r="B14" s="31"/>
      <c r="C14" s="47">
        <v>2825</v>
      </c>
      <c r="D14" s="18"/>
    </row>
    <row r="15" ht="20.05" customHeight="1">
      <c r="B15" s="31"/>
      <c r="C15" s="47">
        <v>3200</v>
      </c>
      <c r="D15" s="18"/>
    </row>
    <row r="16" ht="20.05" customHeight="1">
      <c r="B16" s="33">
        <v>2016</v>
      </c>
      <c r="C16" s="47">
        <v>4060</v>
      </c>
      <c r="D16" s="18"/>
    </row>
    <row r="17" ht="20.05" customHeight="1">
      <c r="B17" s="31"/>
      <c r="C17" s="47">
        <v>4025</v>
      </c>
      <c r="D17" s="18"/>
    </row>
    <row r="18" ht="20.05" customHeight="1">
      <c r="B18" s="31"/>
      <c r="C18" s="47">
        <v>3800</v>
      </c>
      <c r="D18" s="18"/>
    </row>
    <row r="19" ht="20.05" customHeight="1">
      <c r="B19" s="31"/>
      <c r="C19" s="47">
        <v>3290</v>
      </c>
      <c r="D19" s="18"/>
    </row>
    <row r="20" ht="20.05" customHeight="1">
      <c r="B20" s="31"/>
      <c r="C20" s="47">
        <v>3280</v>
      </c>
      <c r="D20" s="18"/>
    </row>
    <row r="21" ht="20.05" customHeight="1">
      <c r="B21" s="31"/>
      <c r="C21" s="47">
        <v>3540</v>
      </c>
      <c r="D21" s="18"/>
    </row>
    <row r="22" ht="20.05" customHeight="1">
      <c r="B22" s="31"/>
      <c r="C22" s="47">
        <v>3500</v>
      </c>
      <c r="D22" s="18"/>
    </row>
    <row r="23" ht="20.05" customHeight="1">
      <c r="B23" s="31"/>
      <c r="C23" s="47">
        <v>4080</v>
      </c>
      <c r="D23" s="18"/>
    </row>
    <row r="24" ht="20.05" customHeight="1">
      <c r="B24" s="31"/>
      <c r="C24" s="47">
        <v>4050</v>
      </c>
      <c r="D24" s="18"/>
    </row>
    <row r="25" ht="20.05" customHeight="1">
      <c r="B25" s="31"/>
      <c r="C25" s="47">
        <v>3860</v>
      </c>
      <c r="D25" s="18"/>
    </row>
    <row r="26" ht="20.05" customHeight="1">
      <c r="B26" s="31"/>
      <c r="C26" s="47">
        <v>3250</v>
      </c>
      <c r="D26" s="18"/>
    </row>
    <row r="27" ht="20.05" customHeight="1">
      <c r="B27" s="31"/>
      <c r="C27" s="47">
        <v>3710</v>
      </c>
      <c r="D27" s="18"/>
    </row>
    <row r="28" ht="20.05" customHeight="1">
      <c r="B28" s="33">
        <v>2017</v>
      </c>
      <c r="C28" s="47">
        <v>4160</v>
      </c>
      <c r="D28" s="18"/>
    </row>
    <row r="29" ht="20.05" customHeight="1">
      <c r="B29" s="31"/>
      <c r="C29" s="47">
        <v>4950</v>
      </c>
      <c r="D29" s="18"/>
    </row>
    <row r="30" ht="20.05" customHeight="1">
      <c r="B30" s="31"/>
      <c r="C30" s="47">
        <v>4700</v>
      </c>
      <c r="D30" s="18"/>
    </row>
    <row r="31" ht="20.05" customHeight="1">
      <c r="B31" s="31"/>
      <c r="C31" s="47">
        <v>4860</v>
      </c>
      <c r="D31" s="18"/>
    </row>
    <row r="32" ht="20.05" customHeight="1">
      <c r="B32" s="31"/>
      <c r="C32" s="47">
        <v>5225</v>
      </c>
      <c r="D32" s="18"/>
    </row>
    <row r="33" ht="20.05" customHeight="1">
      <c r="B33" s="31"/>
      <c r="C33" s="47">
        <v>5125</v>
      </c>
      <c r="D33" s="18"/>
    </row>
    <row r="34" ht="20.05" customHeight="1">
      <c r="B34" s="31"/>
      <c r="C34" s="47">
        <v>5700</v>
      </c>
      <c r="D34" s="18"/>
    </row>
    <row r="35" ht="20.05" customHeight="1">
      <c r="B35" s="31"/>
      <c r="C35" s="47">
        <v>5450</v>
      </c>
      <c r="D35" s="18"/>
    </row>
    <row r="36" ht="20.05" customHeight="1">
      <c r="B36" s="31"/>
      <c r="C36" s="47">
        <v>5200</v>
      </c>
      <c r="D36" s="18"/>
    </row>
    <row r="37" ht="20.05" customHeight="1">
      <c r="B37" s="31"/>
      <c r="C37" s="47">
        <v>5100</v>
      </c>
      <c r="D37" s="18"/>
    </row>
    <row r="38" ht="20.05" customHeight="1">
      <c r="B38" s="31"/>
      <c r="C38" s="47">
        <v>5025</v>
      </c>
      <c r="D38" s="18"/>
    </row>
    <row r="39" ht="20.05" customHeight="1">
      <c r="B39" s="31"/>
      <c r="C39" s="47">
        <v>6950</v>
      </c>
      <c r="D39" s="18"/>
    </row>
    <row r="40" ht="20.05" customHeight="1">
      <c r="B40" s="33">
        <v>2018</v>
      </c>
      <c r="C40" s="47">
        <v>7150</v>
      </c>
      <c r="D40" s="18"/>
    </row>
    <row r="41" ht="20.05" customHeight="1">
      <c r="B41" s="31"/>
      <c r="C41" s="47">
        <v>6600</v>
      </c>
      <c r="D41" s="18"/>
    </row>
    <row r="42" ht="20.05" customHeight="1">
      <c r="B42" s="31"/>
      <c r="C42" s="47">
        <v>6875</v>
      </c>
      <c r="D42" s="18"/>
    </row>
    <row r="43" ht="20.05" customHeight="1">
      <c r="B43" s="31"/>
      <c r="C43" s="47">
        <v>6650</v>
      </c>
      <c r="D43" s="18"/>
    </row>
    <row r="44" ht="20.05" customHeight="1">
      <c r="B44" s="31"/>
      <c r="C44" s="47">
        <v>5825</v>
      </c>
      <c r="D44" s="18"/>
    </row>
    <row r="45" ht="20.05" customHeight="1">
      <c r="B45" s="31"/>
      <c r="C45" s="47">
        <v>6375</v>
      </c>
      <c r="D45" s="18"/>
    </row>
    <row r="46" ht="20.05" customHeight="1">
      <c r="B46" s="31"/>
      <c r="C46" s="47">
        <v>6575</v>
      </c>
      <c r="D46" s="18"/>
    </row>
    <row r="47" ht="20.05" customHeight="1">
      <c r="B47" s="31"/>
      <c r="C47" s="47">
        <v>6800</v>
      </c>
      <c r="D47" s="18"/>
    </row>
    <row r="48" ht="20.05" customHeight="1">
      <c r="B48" s="31"/>
      <c r="C48" s="47">
        <v>7200</v>
      </c>
      <c r="D48" s="18"/>
    </row>
    <row r="49" ht="20.05" customHeight="1">
      <c r="B49" s="31"/>
      <c r="C49" s="47">
        <v>7425</v>
      </c>
      <c r="D49" s="18"/>
    </row>
    <row r="50" ht="20.05" customHeight="1">
      <c r="B50" s="31"/>
      <c r="C50" s="47">
        <v>7425</v>
      </c>
      <c r="D50" s="18"/>
    </row>
    <row r="51" ht="20.05" customHeight="1">
      <c r="B51" s="31"/>
      <c r="C51" s="47">
        <v>7600</v>
      </c>
      <c r="D51" s="18"/>
    </row>
    <row r="52" ht="20.05" customHeight="1">
      <c r="B52" s="33">
        <v>2019</v>
      </c>
      <c r="C52" s="47">
        <v>9100</v>
      </c>
      <c r="D52" s="18"/>
    </row>
    <row r="53" ht="20.05" customHeight="1">
      <c r="B53" s="31"/>
      <c r="C53" s="47">
        <v>8525</v>
      </c>
      <c r="D53" s="18"/>
    </row>
    <row r="54" ht="20.05" customHeight="1">
      <c r="B54" s="31"/>
      <c r="C54" s="47">
        <v>9300</v>
      </c>
      <c r="D54" s="18"/>
    </row>
    <row r="55" ht="20.05" customHeight="1">
      <c r="B55" s="31"/>
      <c r="C55" s="47">
        <v>8850</v>
      </c>
      <c r="D55" s="18"/>
    </row>
    <row r="56" ht="20.05" customHeight="1">
      <c r="B56" s="31"/>
      <c r="C56" s="47">
        <v>4630</v>
      </c>
      <c r="D56" s="18"/>
    </row>
    <row r="57" ht="20.05" customHeight="1">
      <c r="B57" s="31"/>
      <c r="C57" s="47">
        <v>4800</v>
      </c>
      <c r="D57" s="18"/>
    </row>
    <row r="58" ht="20.05" customHeight="1">
      <c r="B58" s="31"/>
      <c r="C58" s="47">
        <v>5075</v>
      </c>
      <c r="D58" s="18"/>
    </row>
    <row r="59" ht="20.05" customHeight="1">
      <c r="B59" s="31"/>
      <c r="C59" s="47">
        <v>4810</v>
      </c>
      <c r="D59" s="18"/>
    </row>
    <row r="60" ht="20.05" customHeight="1">
      <c r="B60" s="31"/>
      <c r="C60" s="47">
        <v>4750</v>
      </c>
      <c r="D60" s="18"/>
    </row>
    <row r="61" ht="20.05" customHeight="1">
      <c r="B61" s="31"/>
      <c r="C61" s="47">
        <v>4200</v>
      </c>
      <c r="D61" s="18"/>
    </row>
    <row r="62" ht="20.05" customHeight="1">
      <c r="B62" s="31"/>
      <c r="C62" s="47">
        <v>3680</v>
      </c>
      <c r="D62" s="18"/>
    </row>
    <row r="63" ht="20.05" customHeight="1">
      <c r="B63" s="31"/>
      <c r="C63" s="47">
        <v>3950</v>
      </c>
      <c r="D63" s="18"/>
    </row>
    <row r="64" ht="20.05" customHeight="1">
      <c r="B64" s="33">
        <v>2020</v>
      </c>
      <c r="C64" s="47">
        <v>3480</v>
      </c>
      <c r="D64" s="18"/>
    </row>
    <row r="65" ht="20.05" customHeight="1">
      <c r="B65" s="31"/>
      <c r="C65" s="47">
        <v>3170</v>
      </c>
      <c r="D65" s="18"/>
    </row>
    <row r="66" ht="20.05" customHeight="1">
      <c r="B66" s="31"/>
      <c r="C66" s="47">
        <v>2090</v>
      </c>
      <c r="D66" s="18"/>
    </row>
    <row r="67" ht="20.05" customHeight="1">
      <c r="B67" s="31"/>
      <c r="C67" s="47">
        <v>2490</v>
      </c>
      <c r="D67" s="34"/>
    </row>
    <row r="68" ht="20.05" customHeight="1">
      <c r="B68" s="31"/>
      <c r="C68" s="47">
        <v>2440</v>
      </c>
      <c r="D68" s="34"/>
    </row>
    <row r="69" ht="20.05" customHeight="1">
      <c r="B69" s="31"/>
      <c r="C69" s="47">
        <v>2690</v>
      </c>
      <c r="D69" s="34"/>
    </row>
    <row r="70" ht="20.05" customHeight="1">
      <c r="B70" s="31"/>
      <c r="C70" s="47">
        <v>2740</v>
      </c>
      <c r="D70" s="34"/>
    </row>
    <row r="71" ht="20.05" customHeight="1">
      <c r="B71" s="31"/>
      <c r="C71" s="47">
        <v>2720</v>
      </c>
      <c r="D71" s="34"/>
    </row>
    <row r="72" ht="20.05" customHeight="1">
      <c r="B72" s="31"/>
      <c r="C72" s="15">
        <v>2170</v>
      </c>
      <c r="D72" s="34"/>
    </row>
    <row r="73" ht="20.05" customHeight="1">
      <c r="B73" s="31"/>
      <c r="C73" s="15">
        <v>2460</v>
      </c>
      <c r="D73" s="34"/>
    </row>
    <row r="74" ht="20.05" customHeight="1">
      <c r="B74" s="31"/>
      <c r="C74" s="15">
        <v>3170</v>
      </c>
      <c r="D74" s="34"/>
    </row>
    <row r="75" ht="20.05" customHeight="1">
      <c r="B75" s="31"/>
      <c r="C75" s="15">
        <v>3140</v>
      </c>
      <c r="D75" s="34"/>
    </row>
    <row r="76" ht="20.05" customHeight="1">
      <c r="B76" s="33">
        <v>2021</v>
      </c>
      <c r="C76" s="15">
        <v>2860</v>
      </c>
      <c r="D76" s="34"/>
    </row>
    <row r="77" ht="20.05" customHeight="1">
      <c r="B77" s="31"/>
      <c r="C77" s="15">
        <v>3120</v>
      </c>
      <c r="D77" s="34"/>
    </row>
    <row r="78" ht="20.05" customHeight="1">
      <c r="B78" s="31"/>
      <c r="C78" s="15">
        <v>2730</v>
      </c>
      <c r="D78" s="34"/>
    </row>
    <row r="79" ht="20.05" customHeight="1">
      <c r="B79" s="31"/>
      <c r="C79" s="15">
        <v>2600</v>
      </c>
      <c r="D79" s="34"/>
    </row>
    <row r="80" ht="20.05" customHeight="1">
      <c r="B80" s="31"/>
      <c r="C80" s="15">
        <v>2330</v>
      </c>
      <c r="D80" s="34"/>
    </row>
    <row r="81" ht="20.05" customHeight="1">
      <c r="B81" s="31"/>
      <c r="C81" s="15">
        <v>2040</v>
      </c>
      <c r="D81" s="34"/>
    </row>
    <row r="82" ht="20.05" customHeight="1">
      <c r="B82" s="31"/>
      <c r="C82" s="15">
        <v>2160</v>
      </c>
      <c r="D82" s="16">
        <v>6410.506135671860</v>
      </c>
    </row>
    <row r="83" ht="20.05" customHeight="1">
      <c r="B83" s="31"/>
      <c r="C83" s="15">
        <v>2350</v>
      </c>
      <c r="D83" s="16">
        <v>6410.506135671860</v>
      </c>
    </row>
    <row r="84" ht="20.05" customHeight="1">
      <c r="B84" s="31"/>
      <c r="C84" s="15">
        <v>2660</v>
      </c>
      <c r="D84" s="16">
        <v>6410.506135671860</v>
      </c>
    </row>
    <row r="85" ht="20.05" customHeight="1">
      <c r="B85" s="31"/>
      <c r="C85" s="15">
        <v>2690</v>
      </c>
      <c r="D85" s="34"/>
    </row>
    <row r="86" ht="20.05" customHeight="1">
      <c r="B86" s="31"/>
      <c r="C86" s="15">
        <v>2500</v>
      </c>
      <c r="D86" s="16">
        <f>C86</f>
        <v>2500</v>
      </c>
    </row>
    <row r="87" ht="20.05" customHeight="1">
      <c r="B87" s="31"/>
      <c r="C87" s="15"/>
      <c r="D87" s="16">
        <f>'Model'!F40</f>
        <v>7914.524709396640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