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<sst xmlns="http://schemas.openxmlformats.org/spreadsheetml/2006/main" uniqueCount="66">
  <si>
    <t>Financial model</t>
  </si>
  <si>
    <t>Rpbn</t>
  </si>
  <si>
    <t>4Q 2021</t>
  </si>
  <si>
    <t>Cash flow</t>
  </si>
  <si>
    <t>Growth</t>
  </si>
  <si>
    <t xml:space="preserve">Sales </t>
  </si>
  <si>
    <t>Cost ratio</t>
  </si>
  <si>
    <t>Cash costs</t>
  </si>
  <si>
    <t>Operating</t>
  </si>
  <si>
    <t>Investment</t>
  </si>
  <si>
    <t>Finance</t>
  </si>
  <si>
    <t>Equity</t>
  </si>
  <si>
    <t xml:space="preserve">Before revolver </t>
  </si>
  <si>
    <t>Revolver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</si>
  <si>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</si>
  <si>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</si>
  <si>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</si>
  <si>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</si>
  <si>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</si>
  <si>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</si>
  <si>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</si>
  <si>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</si>
  <si>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</si>
  <si>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</si>
  <si>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</si>
  <si>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</si>
  <si>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</si>
  <si>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</si>
  <si>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</si>
  <si>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</si>
  <si>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</si>
  <si>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</si>
  <si>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Sales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</si>
  <si>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</si>
  <si>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</si>
  <si>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</si>
  <si>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</si>
  <si>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</si>
  <si>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</si>
  <si>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</si>
  <si>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</si>
  <si>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Provisions</t>
  </si>
  <si>
    <t>Others</t>
  </si>
  <si>
    <t>Forex loss (gain)</t>
  </si>
  <si>
    <t xml:space="preserve">Non operating </t>
  </si>
  <si>
    <t>Sales to assets ratio</t>
  </si>
  <si>
    <t xml:space="preserve">Sales growth </t>
  </si>
  <si>
    <t>Cost ratio %</t>
  </si>
  <si>
    <t>Costs</t>
  </si>
  <si>
    <t>Cashflow</t>
  </si>
  <si>
    <t>Operating before working capital</t>
  </si>
  <si>
    <t>Capex</t>
  </si>
  <si>
    <t xml:space="preserve">Operating </t>
  </si>
  <si>
    <t xml:space="preserve">Investing </t>
  </si>
  <si>
    <t xml:space="preserve">Free cashflow </t>
  </si>
  <si>
    <t xml:space="preserve">Cashflow </t>
  </si>
  <si>
    <t xml:space="preserve">  Cash</t>
  </si>
  <si>
    <t xml:space="preserve">Assets </t>
  </si>
  <si>
    <t>Liabilities &amp; temporary syirkah funds</t>
  </si>
  <si>
    <t xml:space="preserve">Other assets growth </t>
  </si>
  <si>
    <t xml:space="preserve">Liabilities growth </t>
  </si>
  <si>
    <t>Share Price</t>
  </si>
  <si>
    <t>BANK</t>
  </si>
  <si>
    <t>IPO</t>
  </si>
  <si>
    <t>Capital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</si>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</sst>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%"/>
    <numFmt numFmtId="61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1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>
        <color indexed="8"/>
      </left>
      <right style="thin">
        <color indexed="11"/>
      </right>
      <top style="thin">
        <color indexed="10"/>
      </top>
      <bottom>
        <color indexed="8"/>
      </bottom>
      <diagonal/>
    </border>
    <border>
      <left>
        <color indexed="8"/>
      </left>
      <right style="thin">
        <color indexed="11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right" vertical="top" wrapText="1"/>
    </xf>
    <xf numFmtId="49" fontId="2" fillId="2" borderId="9" applyNumberFormat="1" applyFont="1" applyFill="1" applyBorder="1" applyAlignment="1" applyProtection="0">
      <alignment vertical="top" wrapText="1"/>
    </xf>
    <xf numFmtId="0" fontId="2" fillId="2" borderId="10" applyNumberFormat="0" applyFont="1" applyFill="1" applyBorder="1" applyAlignment="1" applyProtection="0">
      <alignment vertical="top" wrapText="1"/>
    </xf>
    <xf numFmtId="49" fontId="2" fillId="4" borderId="11" applyNumberFormat="1" applyFont="1" applyFill="1" applyBorder="1" applyAlignment="1" applyProtection="0">
      <alignment vertical="top" wrapText="1"/>
    </xf>
    <xf numFmtId="0" fontId="2" fillId="4" borderId="12" applyNumberFormat="1" applyFont="1" applyFill="1" applyBorder="1" applyAlignment="1" applyProtection="0">
      <alignment vertical="top" wrapText="1"/>
    </xf>
    <xf numFmtId="0" fontId="2" fillId="4" borderId="13" applyNumberFormat="0" applyFont="1" applyFill="1" applyBorder="1" applyAlignment="1" applyProtection="0">
      <alignment vertical="top" wrapText="1"/>
    </xf>
    <xf numFmtId="0" fontId="2" fillId="4" borderId="1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3607"/>
          <c:y val="0.0446026"/>
          <c:w val="0.854157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'Capital'!$F$4:$F$20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'Capital'!$G$4:$G$20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18.000000</c:v>
                </c:pt>
                <c:pt idx="14">
                  <c:v>18.000000</c:v>
                </c:pt>
                <c:pt idx="15">
                  <c:v>18.000000</c:v>
                </c:pt>
                <c:pt idx="16">
                  <c:v>766.000000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'Capital'!$H$4:$H$20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18.000000</c:v>
                </c:pt>
                <c:pt idx="14">
                  <c:v>18.000000</c:v>
                </c:pt>
                <c:pt idx="15">
                  <c:v>18.000000</c:v>
                </c:pt>
                <c:pt idx="16">
                  <c:v>766.000000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00"/>
        <c:minorUnit val="1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27183"/>
          <c:y val="0.0561608"/>
          <c:w val="0.413735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377139</xdr:colOff>
      <xdr:row>0</xdr:row>
      <xdr:rowOff>446508</xdr:rowOff>
    </xdr:from>
    <xdr:to>
      <xdr:col>13</xdr:col>
      <xdr:colOff>310900</xdr:colOff>
      <xdr:row>44</xdr:row>
      <xdr:rowOff>43617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80939" y="446508"/>
          <a:ext cx="8645962" cy="111331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698390</xdr:colOff>
      <xdr:row>27</xdr:row>
      <xdr:rowOff>177745</xdr:rowOff>
    </xdr:from>
    <xdr:to>
      <xdr:col>7</xdr:col>
      <xdr:colOff>191977</xdr:colOff>
      <xdr:row>40</xdr:row>
      <xdr:rowOff>229371</xdr:rowOff>
    </xdr:to>
    <xdr:graphicFrame>
      <xdr:nvGraphicFramePr>
        <xdr:cNvPr id="4" name="2D Line Chart"/>
        <xdr:cNvGraphicFramePr/>
      </xdr:nvGraphicFramePr>
      <xdr:xfrm>
        <a:off x="1701689" y="7170365"/>
        <a:ext cx="3494089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7188" style="1" customWidth="1"/>
    <col min="2" max="2" width="16.2031" style="1" customWidth="1"/>
    <col min="3" max="3" width="9.25" style="1" customWidth="1"/>
    <col min="4" max="6" width="10.5391" style="1" customWidth="1"/>
    <col min="7" max="16384" width="16.3516" style="1" customWidth="1"/>
  </cols>
  <sheetData>
    <row r="1" ht="36.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5"/>
      <c r="F3" s="5"/>
    </row>
    <row r="4" ht="20.3" customHeight="1">
      <c r="B4" t="s" s="6">
        <v>3</v>
      </c>
      <c r="C4" s="7">
        <f>AVERAGE('Sales'!L13:L16)</f>
        <v>0.0557290288241966</v>
      </c>
      <c r="D4" s="8"/>
      <c r="E4" s="8"/>
      <c r="F4" s="9">
        <f>AVERAGE(C5:F5)</f>
        <v>0.125</v>
      </c>
    </row>
    <row r="5" ht="20.1" customHeight="1">
      <c r="B5" t="s" s="10">
        <v>4</v>
      </c>
      <c r="C5" s="11">
        <v>0.2</v>
      </c>
      <c r="D5" s="12">
        <v>0.05</v>
      </c>
      <c r="E5" s="13">
        <v>0.1</v>
      </c>
      <c r="F5" s="12">
        <v>0.15</v>
      </c>
    </row>
    <row r="6" ht="20.1" customHeight="1">
      <c r="B6" t="s" s="10">
        <v>5</v>
      </c>
      <c r="C6" s="14">
        <f>'Sales'!C16*(1+C5)</f>
        <v>10.9068</v>
      </c>
      <c r="D6" s="15">
        <f>C6*(1+D5)</f>
        <v>11.45214</v>
      </c>
      <c r="E6" s="15">
        <f>D6*(1+E5)</f>
        <v>12.597354</v>
      </c>
      <c r="F6" s="15">
        <f>E6*(1+F5)</f>
        <v>14.4869571</v>
      </c>
    </row>
    <row r="7" ht="20.1" customHeight="1">
      <c r="B7" t="s" s="10">
        <v>6</v>
      </c>
      <c r="C7" s="16">
        <f>AVERAGE('Sales'!O14:O16)</f>
        <v>-1.98059373247429</v>
      </c>
      <c r="D7" s="17">
        <f>D8/D6</f>
        <v>-1.88627974521361</v>
      </c>
      <c r="E7" s="17">
        <f>E8/E6</f>
        <v>-1.71479976837601</v>
      </c>
      <c r="F7" s="17">
        <f>F8/F6</f>
        <v>-1.49113023337044</v>
      </c>
    </row>
    <row r="8" ht="20.1" customHeight="1">
      <c r="B8" t="s" s="10">
        <v>7</v>
      </c>
      <c r="C8" s="18">
        <f>C7*C6</f>
        <v>-21.6019397213506</v>
      </c>
      <c r="D8" s="19">
        <f>C8</f>
        <v>-21.6019397213506</v>
      </c>
      <c r="E8" s="19">
        <f>D8</f>
        <v>-21.6019397213506</v>
      </c>
      <c r="F8" s="19">
        <f>E8</f>
        <v>-21.6019397213506</v>
      </c>
    </row>
    <row r="9" ht="20.1" customHeight="1">
      <c r="B9" t="s" s="10">
        <v>8</v>
      </c>
      <c r="C9" s="18">
        <f>C6+C8</f>
        <v>-10.6951397213506</v>
      </c>
      <c r="D9" s="19">
        <f>D6+D8</f>
        <v>-10.1497997213506</v>
      </c>
      <c r="E9" s="19">
        <f>E6+E8</f>
        <v>-9.004585721350599</v>
      </c>
      <c r="F9" s="19">
        <f>F6+F8</f>
        <v>-7.1149826213506</v>
      </c>
    </row>
    <row r="10" ht="20.05" customHeight="1">
      <c r="B10" t="s" s="10">
        <v>9</v>
      </c>
      <c r="C10" s="18">
        <f>AVERAGE('Cashflow '!D12)</f>
        <v>-0.004</v>
      </c>
      <c r="D10" s="19">
        <f>C10</f>
        <v>-0.004</v>
      </c>
      <c r="E10" s="19">
        <f>D10</f>
        <v>-0.004</v>
      </c>
      <c r="F10" s="19">
        <f>E10</f>
        <v>-0.004</v>
      </c>
    </row>
    <row r="11" ht="20.1" customHeight="1">
      <c r="B11" t="s" s="10">
        <v>10</v>
      </c>
      <c r="C11" s="18">
        <f>C12+C14</f>
        <v>10.6991397213506</v>
      </c>
      <c r="D11" s="19">
        <f>D12+D14</f>
        <v>10.1537997213506</v>
      </c>
      <c r="E11" s="19">
        <f>E12+E14</f>
        <v>9.008585721350601</v>
      </c>
      <c r="F11" s="19">
        <f>F12+F14</f>
        <v>7.1189826213506</v>
      </c>
    </row>
    <row r="12" ht="20.1" customHeight="1">
      <c r="B12" t="s" s="10">
        <v>11</v>
      </c>
      <c r="C12" s="18">
        <f>IF(C21&gt;0,-C21*0.7,0)</f>
        <v>0</v>
      </c>
      <c r="D12" s="19">
        <f>IF(D21&gt;0,-D21*0.7,0)</f>
        <v>0</v>
      </c>
      <c r="E12" s="19">
        <f>IF(E21&gt;0,-E21*0.7,0)</f>
        <v>0</v>
      </c>
      <c r="F12" s="19">
        <f>IF(F21&gt;0,-F21*0.7,0)</f>
        <v>0</v>
      </c>
    </row>
    <row r="13" ht="20.1" customHeight="1">
      <c r="B13" t="s" s="10">
        <v>12</v>
      </c>
      <c r="C13" s="18">
        <f>C9+C10+C12</f>
        <v>-10.6991397213506</v>
      </c>
      <c r="D13" s="19">
        <f>D9+D10+D12</f>
        <v>-10.1537997213506</v>
      </c>
      <c r="E13" s="19">
        <f>E9+E10+E12</f>
        <v>-9.008585721350601</v>
      </c>
      <c r="F13" s="19">
        <f>F9+F10+F12</f>
        <v>-7.1189826213506</v>
      </c>
    </row>
    <row r="14" ht="20.1" customHeight="1">
      <c r="B14" t="s" s="10">
        <v>13</v>
      </c>
      <c r="C14" s="18">
        <f>-MIN(0,C13)</f>
        <v>10.6991397213506</v>
      </c>
      <c r="D14" s="19">
        <f>-MIN(C27,D13)</f>
        <v>10.1537997213506</v>
      </c>
      <c r="E14" s="19">
        <f>-MIN(D27,E13)</f>
        <v>9.008585721350601</v>
      </c>
      <c r="F14" s="19">
        <f>-MIN(E27,F13)</f>
        <v>7.1189826213506</v>
      </c>
    </row>
    <row r="15" ht="20.1" customHeight="1">
      <c r="B15" t="s" s="10">
        <v>14</v>
      </c>
      <c r="C15" s="18">
        <f>'Balance Sheet '!C14</f>
        <v>36.598</v>
      </c>
      <c r="D15" s="19">
        <f>C17</f>
        <v>36.598</v>
      </c>
      <c r="E15" s="19">
        <f>D17</f>
        <v>36.598</v>
      </c>
      <c r="F15" s="19">
        <f>E17</f>
        <v>36.598</v>
      </c>
    </row>
    <row r="16" ht="20.1" customHeight="1">
      <c r="B16" t="s" s="10">
        <v>15</v>
      </c>
      <c r="C16" s="18">
        <f>C9+C10+C11</f>
        <v>0</v>
      </c>
      <c r="D16" s="19">
        <f>D9+D10+D11</f>
        <v>0</v>
      </c>
      <c r="E16" s="19">
        <f>E9+E10+E11</f>
        <v>0</v>
      </c>
      <c r="F16" s="19">
        <f>F9+F10+F11</f>
        <v>0</v>
      </c>
    </row>
    <row r="17" ht="20.1" customHeight="1">
      <c r="B17" t="s" s="10">
        <v>16</v>
      </c>
      <c r="C17" s="18">
        <f>C15+C16</f>
        <v>36.598</v>
      </c>
      <c r="D17" s="19">
        <f>D15+D16</f>
        <v>36.598</v>
      </c>
      <c r="E17" s="19">
        <f>E15+E16</f>
        <v>36.598</v>
      </c>
      <c r="F17" s="19">
        <f>F15+F16</f>
        <v>36.598</v>
      </c>
    </row>
    <row r="18" ht="20.1" customHeight="1">
      <c r="B18" t="s" s="20">
        <v>17</v>
      </c>
      <c r="C18" s="18"/>
      <c r="D18" s="19"/>
      <c r="E18" s="19"/>
      <c r="F18" s="19"/>
    </row>
    <row r="19" ht="20.05" customHeight="1">
      <c r="B19" t="s" s="10">
        <v>18</v>
      </c>
      <c r="C19" s="18">
        <f>-AVERAGE('Sales'!G16)</f>
        <v>-1.146</v>
      </c>
      <c r="D19" s="19">
        <f>C19</f>
        <v>-1.146</v>
      </c>
      <c r="E19" s="19">
        <f>D19</f>
        <v>-1.146</v>
      </c>
      <c r="F19" s="19">
        <f>E19</f>
        <v>-1.146</v>
      </c>
    </row>
    <row r="20" ht="20.05" customHeight="1">
      <c r="B20" t="s" s="10">
        <v>19</v>
      </c>
      <c r="C20" s="18">
        <f>-AVERAGE('Sales'!E16)</f>
        <v>0.487</v>
      </c>
      <c r="D20" s="19">
        <f>C20</f>
        <v>0.487</v>
      </c>
      <c r="E20" s="19">
        <f>D20</f>
        <v>0.487</v>
      </c>
      <c r="F20" s="19">
        <f>E20</f>
        <v>0.487</v>
      </c>
    </row>
    <row r="21" ht="20.1" customHeight="1">
      <c r="B21" t="s" s="10">
        <v>20</v>
      </c>
      <c r="C21" s="18">
        <f>C6+C8+C19+C20</f>
        <v>-11.3541397213506</v>
      </c>
      <c r="D21" s="19">
        <f>D6+D8+D19+D20</f>
        <v>-10.8087997213506</v>
      </c>
      <c r="E21" s="19">
        <f>E6+E8+E19+E20</f>
        <v>-9.6635857213506</v>
      </c>
      <c r="F21" s="19">
        <f>F6+F8+F19+F20</f>
        <v>-7.7739826213506</v>
      </c>
    </row>
    <row r="22" ht="20.1" customHeight="1">
      <c r="B22" t="s" s="20">
        <v>21</v>
      </c>
      <c r="C22" s="18"/>
      <c r="D22" s="19"/>
      <c r="E22" s="19"/>
      <c r="F22" s="19"/>
    </row>
    <row r="23" ht="20.1" customHeight="1">
      <c r="B23" t="s" s="10">
        <v>22</v>
      </c>
      <c r="C23" s="18">
        <f>'Balance Sheet '!E14+'Balance Sheet '!F14-C10</f>
        <v>1167.625</v>
      </c>
      <c r="D23" s="19">
        <f>C23-D10</f>
        <v>1167.629</v>
      </c>
      <c r="E23" s="19">
        <f>D23-E10</f>
        <v>1167.633</v>
      </c>
      <c r="F23" s="19">
        <f>E23-F10</f>
        <v>1167.637</v>
      </c>
    </row>
    <row r="24" ht="20.1" customHeight="1">
      <c r="B24" t="s" s="10">
        <v>18</v>
      </c>
      <c r="C24" s="18">
        <f>'Balance Sheet '!F14-C19-C20</f>
        <v>22.496</v>
      </c>
      <c r="D24" s="19">
        <f>C24-D19-D20</f>
        <v>23.155</v>
      </c>
      <c r="E24" s="19">
        <f>D24-E19-E20</f>
        <v>23.814</v>
      </c>
      <c r="F24" s="19">
        <f>E24-F19-F20</f>
        <v>24.473</v>
      </c>
    </row>
    <row r="25" ht="20.1" customHeight="1">
      <c r="B25" t="s" s="10">
        <v>23</v>
      </c>
      <c r="C25" s="18">
        <f>C23-C24</f>
        <v>1145.129</v>
      </c>
      <c r="D25" s="19">
        <f>D23-D24</f>
        <v>1144.474</v>
      </c>
      <c r="E25" s="19">
        <f>E23-E24</f>
        <v>1143.819</v>
      </c>
      <c r="F25" s="19">
        <f>F23-F24</f>
        <v>1143.164</v>
      </c>
    </row>
    <row r="26" ht="20.1" customHeight="1">
      <c r="B26" t="s" s="10">
        <v>24</v>
      </c>
      <c r="C26" s="18">
        <f>'Balance Sheet '!H14</f>
        <v>81.358</v>
      </c>
      <c r="D26" s="19">
        <f>C26</f>
        <v>81.358</v>
      </c>
      <c r="E26" s="19">
        <f>D26</f>
        <v>81.358</v>
      </c>
      <c r="F26" s="19">
        <f>E26</f>
        <v>81.358</v>
      </c>
    </row>
    <row r="27" ht="20.1" customHeight="1">
      <c r="B27" t="s" s="10">
        <v>13</v>
      </c>
      <c r="C27" s="18">
        <f>C14</f>
        <v>10.6991397213506</v>
      </c>
      <c r="D27" s="19">
        <f>C27+D14</f>
        <v>20.8529394427012</v>
      </c>
      <c r="E27" s="19">
        <f>D27+E14</f>
        <v>29.8615251640518</v>
      </c>
      <c r="F27" s="19">
        <f>E27+F14</f>
        <v>36.9805077854024</v>
      </c>
    </row>
    <row r="28" ht="20.1" customHeight="1">
      <c r="B28" t="s" s="10">
        <v>25</v>
      </c>
      <c r="C28" s="18">
        <f>'Balance Sheet '!I14+C21+C12</f>
        <v>1089.669860278650</v>
      </c>
      <c r="D28" s="19">
        <f>C28+D21+D12</f>
        <v>1078.8610605573</v>
      </c>
      <c r="E28" s="19">
        <f>D28+E21+E12</f>
        <v>1069.197474835950</v>
      </c>
      <c r="F28" s="19">
        <f>E28+F21+F12</f>
        <v>1061.4234922146</v>
      </c>
    </row>
    <row r="29" ht="20.1" customHeight="1">
      <c r="B29" t="s" s="10">
        <v>26</v>
      </c>
      <c r="C29" s="18">
        <f>C26+C27+C28-C17-C25</f>
        <v>6e-13</v>
      </c>
      <c r="D29" s="19">
        <f>D26+D27+D28-D17-D25</f>
        <v>1.2e-12</v>
      </c>
      <c r="E29" s="19">
        <f>E26+E27+E28-E17-E25</f>
        <v>1.8e-12</v>
      </c>
      <c r="F29" s="19">
        <f>F26+F27+F28-F17-F25</f>
        <v>2.4e-12</v>
      </c>
    </row>
    <row r="30" ht="20.1" customHeight="1">
      <c r="B30" t="s" s="20">
        <v>27</v>
      </c>
      <c r="C30" s="18"/>
      <c r="D30" s="19"/>
      <c r="E30" s="19"/>
      <c r="F30" s="19"/>
    </row>
    <row r="31" ht="20.1" customHeight="1">
      <c r="B31" t="s" s="10">
        <v>28</v>
      </c>
      <c r="C31" s="18">
        <f>'Cashflow '!L16-C11</f>
        <v>-526.371139721351</v>
      </c>
      <c r="D31" s="19">
        <f>C31-D11</f>
        <v>-536.524939442702</v>
      </c>
      <c r="E31" s="19">
        <f>D31-E11</f>
        <v>-545.533525164053</v>
      </c>
      <c r="F31" s="19">
        <f>E31-F11</f>
        <v>-552.6525077854041</v>
      </c>
    </row>
    <row r="32" ht="20.1" customHeight="1">
      <c r="B32" t="s" s="10">
        <v>29</v>
      </c>
      <c r="C32" s="18"/>
      <c r="D32" s="19"/>
      <c r="E32" s="19"/>
      <c r="F32" s="19">
        <v>29550</v>
      </c>
    </row>
    <row r="33" ht="20.1" customHeight="1">
      <c r="B33" t="s" s="10">
        <v>30</v>
      </c>
      <c r="C33" s="18"/>
      <c r="D33" s="19"/>
      <c r="E33" s="19"/>
      <c r="F33" s="21">
        <f>F32/(F17+F25)</f>
        <v>25.0474248195823</v>
      </c>
    </row>
    <row r="34" ht="20.1" customHeight="1">
      <c r="B34" t="s" s="10">
        <v>31</v>
      </c>
      <c r="C34" s="18"/>
      <c r="D34" s="19"/>
      <c r="E34" s="19"/>
      <c r="F34" s="17">
        <f>-(C12+D12+E12+F12)/F32</f>
        <v>0</v>
      </c>
    </row>
    <row r="35" ht="20.1" customHeight="1">
      <c r="B35" t="s" s="10">
        <v>32</v>
      </c>
      <c r="C35" s="18"/>
      <c r="D35" s="19"/>
      <c r="E35" s="19"/>
      <c r="F35" s="19">
        <f>SUM(F6)*4</f>
        <v>57.9478284</v>
      </c>
    </row>
    <row r="36" ht="20.1" customHeight="1">
      <c r="B36" t="s" s="10">
        <v>27</v>
      </c>
      <c r="C36" s="18"/>
      <c r="D36" s="19"/>
      <c r="E36" s="19"/>
      <c r="F36" s="19">
        <f>F32/F35</f>
        <v>509.941456235830</v>
      </c>
    </row>
    <row r="37" ht="20.1" customHeight="1">
      <c r="B37" t="s" s="10">
        <v>33</v>
      </c>
      <c r="C37" s="18"/>
      <c r="D37" s="19"/>
      <c r="E37" s="19"/>
      <c r="F37" s="19">
        <v>250</v>
      </c>
    </row>
    <row r="38" ht="20.1" customHeight="1">
      <c r="B38" t="s" s="10">
        <v>34</v>
      </c>
      <c r="C38" s="18"/>
      <c r="D38" s="19"/>
      <c r="E38" s="19"/>
      <c r="F38" s="19">
        <f>F35*F37</f>
        <v>14486.9571</v>
      </c>
    </row>
    <row r="39" ht="20.1" customHeight="1">
      <c r="B39" t="s" s="10">
        <v>35</v>
      </c>
      <c r="C39" s="18"/>
      <c r="D39" s="19"/>
      <c r="E39" s="19"/>
      <c r="F39" s="19">
        <f>F32/F41</f>
        <v>13.1333333333333</v>
      </c>
    </row>
    <row r="40" ht="20.1" customHeight="1">
      <c r="B40" t="s" s="10">
        <v>36</v>
      </c>
      <c r="C40" s="18"/>
      <c r="D40" s="19"/>
      <c r="E40" s="19"/>
      <c r="F40" s="19">
        <f>F38/F39</f>
        <v>1103.067799492390</v>
      </c>
    </row>
    <row r="41" ht="20.1" customHeight="1">
      <c r="B41" t="s" s="10">
        <v>37</v>
      </c>
      <c r="C41" s="18"/>
      <c r="D41" s="19"/>
      <c r="E41" s="19"/>
      <c r="F41" s="19">
        <f>'Share price'!C9</f>
        <v>2250</v>
      </c>
    </row>
    <row r="42" ht="20.1" customHeight="1">
      <c r="B42" t="s" s="10">
        <v>38</v>
      </c>
      <c r="C42" s="18"/>
      <c r="D42" s="19"/>
      <c r="E42" s="19"/>
      <c r="F42" s="17">
        <f>F40/F41-1</f>
        <v>-0.509747644670049</v>
      </c>
    </row>
    <row r="43" ht="20.1" customHeight="1">
      <c r="B43" t="s" s="10">
        <v>39</v>
      </c>
      <c r="C43" s="18"/>
      <c r="D43" s="19"/>
      <c r="E43" s="19"/>
      <c r="F43" s="17">
        <f>'Sales'!C16/'Sales'!C12-1</f>
        <v>0.183309464913423</v>
      </c>
    </row>
    <row r="44" ht="20.1" customHeight="1">
      <c r="B44" t="s" s="10">
        <v>40</v>
      </c>
      <c r="C44" s="18"/>
      <c r="D44" s="19"/>
      <c r="E44" s="19"/>
      <c r="F44" s="17">
        <f>('Sales'!D9+'Sales'!D10+'Sales'!D11+'Sales'!D12+'Sales'!D13+'Sales'!D14+'Sales'!D15+'Sales'!D16)/('Sales'!C9+'Sales'!C10+'Sales'!C11+'Sales'!C12+'Sales'!C13+'Sales'!C14+'Sales'!C15+'Sales'!C16)-1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46094" style="22" customWidth="1"/>
    <col min="2" max="2" width="10.1953" style="22" customWidth="1"/>
    <col min="3" max="5" width="9.57031" style="22" customWidth="1"/>
    <col min="6" max="15" width="10.8281" style="22" customWidth="1"/>
    <col min="16" max="16384" width="16.3516" style="22" customWidth="1"/>
  </cols>
  <sheetData>
    <row r="1" ht="15.6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4">
        <v>1</v>
      </c>
      <c r="C3" t="s" s="4">
        <v>32</v>
      </c>
      <c r="D3" t="s" s="4">
        <v>33</v>
      </c>
      <c r="E3" t="s" s="4">
        <v>41</v>
      </c>
      <c r="F3" t="s" s="4">
        <v>42</v>
      </c>
      <c r="G3" t="s" s="4">
        <v>18</v>
      </c>
      <c r="H3" t="s" s="4">
        <v>43</v>
      </c>
      <c r="I3" t="s" s="4">
        <v>44</v>
      </c>
      <c r="J3" t="s" s="4">
        <v>17</v>
      </c>
      <c r="K3" t="s" s="4">
        <v>45</v>
      </c>
      <c r="L3" t="s" s="4">
        <v>46</v>
      </c>
      <c r="M3" t="s" s="4">
        <v>7</v>
      </c>
      <c r="N3" t="s" s="4">
        <v>47</v>
      </c>
      <c r="O3" t="s" s="4">
        <v>48</v>
      </c>
    </row>
    <row r="4" ht="20.25" customHeight="1">
      <c r="B4" s="23">
        <v>2014</v>
      </c>
      <c r="C4" s="24">
        <f>169.712+5.817</f>
        <v>175.529</v>
      </c>
      <c r="D4" s="25"/>
      <c r="E4" s="25">
        <f>10.746+2.434</f>
        <v>13.18</v>
      </c>
      <c r="F4" s="25"/>
      <c r="G4" s="25">
        <v>6.34</v>
      </c>
      <c r="H4" s="25">
        <v>-4.759</v>
      </c>
      <c r="I4" s="25"/>
      <c r="J4" s="25">
        <v>55.913</v>
      </c>
      <c r="K4" s="26"/>
      <c r="L4" s="27"/>
      <c r="M4" s="27"/>
      <c r="N4" s="27">
        <f>(G4+E4+J4-C4)/C4</f>
        <v>-0.570253348449544</v>
      </c>
      <c r="O4" s="27">
        <f>AVERAGE(N4:N4)</f>
        <v>-0.570253348449544</v>
      </c>
    </row>
    <row r="5" ht="20.05" customHeight="1">
      <c r="B5" s="28">
        <v>2015</v>
      </c>
      <c r="C5" s="29">
        <f>173.385+3.811</f>
        <v>177.196</v>
      </c>
      <c r="D5" s="30"/>
      <c r="E5" s="30">
        <f>468.916+0.128</f>
        <v>469.044</v>
      </c>
      <c r="F5" s="30"/>
      <c r="G5" s="30">
        <v>4.634</v>
      </c>
      <c r="H5" s="30">
        <v>-1.16</v>
      </c>
      <c r="I5" s="30"/>
      <c r="J5" s="30">
        <v>-294.392</v>
      </c>
      <c r="K5" s="31"/>
      <c r="L5" s="17">
        <f>C5/C4-1</f>
        <v>0.0094970061927089</v>
      </c>
      <c r="M5" s="17"/>
      <c r="N5" s="17">
        <f>(G5+E5+J5-C5)/C5</f>
        <v>0.0117948486421815</v>
      </c>
      <c r="O5" s="17">
        <f>AVERAGE(N4:N5)</f>
        <v>-0.279229249903681</v>
      </c>
    </row>
    <row r="6" ht="20.05" customHeight="1">
      <c r="B6" s="28">
        <v>2016</v>
      </c>
      <c r="C6" s="18">
        <f>107.788+5.968</f>
        <v>113.756</v>
      </c>
      <c r="D6" s="19"/>
      <c r="E6" s="19">
        <f>165.903-3.216</f>
        <v>162.687</v>
      </c>
      <c r="F6" s="19"/>
      <c r="G6" s="19">
        <v>1.867</v>
      </c>
      <c r="H6" s="19">
        <v>-3.54</v>
      </c>
      <c r="I6" s="19"/>
      <c r="J6" s="19">
        <v>-163.738</v>
      </c>
      <c r="K6" s="31"/>
      <c r="L6" s="17">
        <f>C6/C5-1</f>
        <v>-0.358021625770333</v>
      </c>
      <c r="M6" s="17"/>
      <c r="N6" s="17">
        <f>(G6+E6+J6-C6)/C6</f>
        <v>-0.992826751995499</v>
      </c>
      <c r="O6" s="17">
        <f>AVERAGE(N4:N6)</f>
        <v>-0.517095083934287</v>
      </c>
    </row>
    <row r="7" ht="20.05" customHeight="1">
      <c r="B7" s="28">
        <v>2017</v>
      </c>
      <c r="C7" s="29">
        <f>104.274+4.06</f>
        <v>108.334</v>
      </c>
      <c r="D7" s="30"/>
      <c r="E7" s="30">
        <f>-100.454-0.96</f>
        <v>-101.414</v>
      </c>
      <c r="F7" s="30"/>
      <c r="G7" s="30">
        <v>14.835</v>
      </c>
      <c r="H7" s="30">
        <v>-2.651</v>
      </c>
      <c r="I7" s="30"/>
      <c r="J7" s="30">
        <v>-9.785</v>
      </c>
      <c r="K7" s="31">
        <f>C7/'Balance Sheet '!E5</f>
        <v>0.058615760364375</v>
      </c>
      <c r="L7" s="17">
        <f>C7/C6-1</f>
        <v>-0.0476634199514751</v>
      </c>
      <c r="M7" s="17"/>
      <c r="N7" s="17">
        <f>(G7+E7+J7-C7)/C7</f>
        <v>-1.88950837225617</v>
      </c>
      <c r="O7" s="17">
        <f>AVERAGE(N4:N7)</f>
        <v>-0.8601984060147581</v>
      </c>
    </row>
    <row r="8" ht="20.05" customHeight="1">
      <c r="B8" s="28">
        <v>2018</v>
      </c>
      <c r="C8" s="29">
        <f>61.445+6.351</f>
        <v>67.79600000000001</v>
      </c>
      <c r="D8" s="30"/>
      <c r="E8" s="30">
        <f>21.64+63.75</f>
        <v>85.39</v>
      </c>
      <c r="F8" s="30"/>
      <c r="G8" s="30">
        <v>4.5</v>
      </c>
      <c r="H8" s="30">
        <v>-4.132</v>
      </c>
      <c r="I8" s="30"/>
      <c r="J8" s="30">
        <v>-64.72</v>
      </c>
      <c r="K8" s="31">
        <f>C8/'Balance Sheet '!E6</f>
        <v>0.0461465682420728</v>
      </c>
      <c r="L8" s="17">
        <f>C8/C7-1</f>
        <v>-0.374194620340798</v>
      </c>
      <c r="M8" s="17"/>
      <c r="N8" s="17">
        <f>(G8+E8+J8-C8)/C8</f>
        <v>-0.628739158652428</v>
      </c>
      <c r="O8" s="17">
        <f>AVERAGE(N5:N8)</f>
        <v>-0.8748198585654789</v>
      </c>
    </row>
    <row r="9" ht="20.05" customHeight="1">
      <c r="B9" s="28">
        <v>2019</v>
      </c>
      <c r="C9" s="29">
        <f>51.471+1.712</f>
        <v>53.183</v>
      </c>
      <c r="D9" s="30"/>
      <c r="E9" s="30">
        <v>-3.187</v>
      </c>
      <c r="F9" s="30"/>
      <c r="G9" s="30">
        <v>1.516</v>
      </c>
      <c r="H9" s="30">
        <v>-1.649</v>
      </c>
      <c r="I9" s="30"/>
      <c r="J9" s="30">
        <v>77.304</v>
      </c>
      <c r="K9" s="31">
        <f>C9/'Balance Sheet '!E7</f>
        <v>0.0523385180118783</v>
      </c>
      <c r="L9" s="17">
        <f>C9/C8-1</f>
        <v>-0.215543689893209</v>
      </c>
      <c r="M9" s="17"/>
      <c r="N9" s="17">
        <f>(G9+E9+J9-C9)/C9</f>
        <v>0.422127371528496</v>
      </c>
      <c r="O9" s="17">
        <f>AVERAGE(N6:N9)</f>
        <v>-0.7722367278439</v>
      </c>
    </row>
    <row r="10" ht="20.05" customHeight="1">
      <c r="B10" s="28">
        <v>2020</v>
      </c>
      <c r="C10" s="18">
        <v>8.257</v>
      </c>
      <c r="D10" s="19"/>
      <c r="E10" s="19">
        <v>-0.025</v>
      </c>
      <c r="F10" s="19"/>
      <c r="G10" s="19">
        <v>0</v>
      </c>
      <c r="H10" s="19">
        <v>8.927</v>
      </c>
      <c r="I10" s="19">
        <v>10.638</v>
      </c>
      <c r="J10" s="19">
        <v>2.017</v>
      </c>
      <c r="K10" s="31">
        <f>C10/'Balance Sheet '!E8</f>
        <v>0.008366068434176361</v>
      </c>
      <c r="L10" s="17">
        <f>C10/C9-1</f>
        <v>-0.844743621081925</v>
      </c>
      <c r="M10" s="19">
        <f>J10-I10+H10+G10-F10+E10-C10</f>
        <v>-7.976</v>
      </c>
      <c r="N10" s="17">
        <f>(J10+-I10+H10+G10-F10+E10-C10)/C10</f>
        <v>-0.965968269347221</v>
      </c>
      <c r="O10" s="17">
        <f>AVERAGE(N7:N10)</f>
        <v>-0.765522107181831</v>
      </c>
    </row>
    <row r="11" ht="20.05" customHeight="1">
      <c r="B11" s="32"/>
      <c r="C11" s="29">
        <v>8.712999999999999</v>
      </c>
      <c r="D11" s="33"/>
      <c r="E11" s="30">
        <v>-0.037</v>
      </c>
      <c r="F11" s="33"/>
      <c r="G11" s="30">
        <v>0.001</v>
      </c>
      <c r="H11" s="30">
        <v>-4.534</v>
      </c>
      <c r="I11" s="19">
        <f>67.581-I10</f>
        <v>56.943</v>
      </c>
      <c r="J11" s="30">
        <v>58.399</v>
      </c>
      <c r="K11" s="31">
        <f>C11/'Balance Sheet '!E9</f>
        <v>0.0311018618995945</v>
      </c>
      <c r="L11" s="17">
        <f>C11/C10-1</f>
        <v>0.0552258689596706</v>
      </c>
      <c r="M11" s="19">
        <f>J11-I11+H11+G11-F11+E11-C11</f>
        <v>-11.827</v>
      </c>
      <c r="N11" s="17">
        <f>(J11+-I11+H11+G11-F11+E11-C11)/C11</f>
        <v>-1.35739699299897</v>
      </c>
      <c r="O11" s="17">
        <f>AVERAGE(N8:N11)</f>
        <v>-0.632494262367531</v>
      </c>
    </row>
    <row r="12" ht="20.05" customHeight="1">
      <c r="B12" s="32"/>
      <c r="C12" s="29">
        <v>7.681</v>
      </c>
      <c r="D12" s="33"/>
      <c r="E12" s="30">
        <v>-0.008</v>
      </c>
      <c r="F12" s="33"/>
      <c r="G12" s="30">
        <v>0.001</v>
      </c>
      <c r="H12" s="30">
        <v>-0.43</v>
      </c>
      <c r="I12" s="19">
        <f>67.581-I11-I10</f>
        <v>0</v>
      </c>
      <c r="J12" s="30">
        <v>-1.934</v>
      </c>
      <c r="K12" s="31">
        <f>C12/'Balance Sheet '!E10</f>
        <v>0.0129276465826142</v>
      </c>
      <c r="L12" s="17">
        <f>C12/C11-1</f>
        <v>-0.118443704808906</v>
      </c>
      <c r="M12" s="19">
        <f>J12-I12+H12+G12-F12+E12-C12</f>
        <v>-10.052</v>
      </c>
      <c r="N12" s="17">
        <f>(J12+-I12+H12+G12-F12+E12-C12)/C12</f>
        <v>-1.30868376513475</v>
      </c>
      <c r="O12" s="17">
        <f>AVERAGE(N9:N12)</f>
        <v>-0.802480413988111</v>
      </c>
    </row>
    <row r="13" ht="20.05" customHeight="1">
      <c r="B13" s="32"/>
      <c r="C13" s="29">
        <v>7.102</v>
      </c>
      <c r="D13" s="33"/>
      <c r="E13" s="30">
        <v>-0.042</v>
      </c>
      <c r="F13" s="30">
        <v>65.13800000000001</v>
      </c>
      <c r="G13" s="30">
        <v>0</v>
      </c>
      <c r="H13" s="30">
        <v>0.475</v>
      </c>
      <c r="I13" s="19">
        <f>2.397-I12-I11-I10</f>
        <v>-65.184</v>
      </c>
      <c r="J13" s="30">
        <v>-13.614</v>
      </c>
      <c r="K13" s="31">
        <f>C13/'Balance Sheet '!E11</f>
        <v>0.0106647205278601</v>
      </c>
      <c r="L13" s="17">
        <f>C13/C12-1</f>
        <v>-0.0753808097903919</v>
      </c>
      <c r="M13" s="19">
        <f>J13-I13+H13+G13-F13+E13-C13</f>
        <v>-20.237</v>
      </c>
      <c r="N13" s="17">
        <f>(J13+-I13+H13+G13-F13+E13-C13)/C13</f>
        <v>-2.84947901999437</v>
      </c>
      <c r="O13" s="17">
        <f>AVERAGE(N10:N13)</f>
        <v>-1.62038201186883</v>
      </c>
    </row>
    <row r="14" ht="20.05" customHeight="1">
      <c r="B14" s="28">
        <v>2021</v>
      </c>
      <c r="C14" s="18">
        <v>9.565</v>
      </c>
      <c r="D14" s="19"/>
      <c r="E14" s="19">
        <v>4.021</v>
      </c>
      <c r="F14" s="19"/>
      <c r="G14" s="19">
        <v>0.643</v>
      </c>
      <c r="H14" s="19">
        <v>0</v>
      </c>
      <c r="I14" s="19">
        <v>10.086</v>
      </c>
      <c r="J14" s="19">
        <v>1.417</v>
      </c>
      <c r="K14" s="31">
        <f>C14/'Balance Sheet '!E12</f>
        <v>0.0081095952663364</v>
      </c>
      <c r="L14" s="17">
        <f>C14/C13-1</f>
        <v>0.346803717262743</v>
      </c>
      <c r="M14" s="19">
        <f>J14-I14+H14+G14-F14+E14-C14</f>
        <v>-13.57</v>
      </c>
      <c r="N14" s="17">
        <f>(J14+-I14+H14+G14-F14+E14-C14)/C14</f>
        <v>-1.41871406168322</v>
      </c>
      <c r="O14" s="17">
        <f>AVERAGE(N11:N14)</f>
        <v>-1.73356845995283</v>
      </c>
    </row>
    <row r="15" ht="20.05" customHeight="1">
      <c r="B15" s="32"/>
      <c r="C15" s="29">
        <v>9.744</v>
      </c>
      <c r="D15" s="33"/>
      <c r="E15" s="30">
        <v>0.023</v>
      </c>
      <c r="F15" s="33"/>
      <c r="G15" s="30">
        <v>0.6840000000000001</v>
      </c>
      <c r="H15" s="30">
        <v>0</v>
      </c>
      <c r="I15" s="19">
        <f>19.523-I14</f>
        <v>9.436999999999999</v>
      </c>
      <c r="J15" s="19">
        <v>-4.551</v>
      </c>
      <c r="K15" s="31">
        <f>C15/'Balance Sheet '!E13</f>
        <v>0.0086557782472049</v>
      </c>
      <c r="L15" s="17">
        <f>C15/C14-1</f>
        <v>0.0187140616832201</v>
      </c>
      <c r="M15" s="19">
        <f>J15-I15+H15+G15-F15+E15-C15</f>
        <v>-23.025</v>
      </c>
      <c r="N15" s="17">
        <f>(J15+-I15+H15+G15-F15+E15-C15)/C15</f>
        <v>-2.36299261083744</v>
      </c>
      <c r="O15" s="17">
        <f>AVERAGE(N12:N15)</f>
        <v>-1.98496736441245</v>
      </c>
    </row>
    <row r="16" ht="20.05" customHeight="1">
      <c r="B16" s="32"/>
      <c r="C16" s="29">
        <v>9.089</v>
      </c>
      <c r="D16" s="33"/>
      <c r="E16" s="30">
        <v>-0.487</v>
      </c>
      <c r="F16" s="33"/>
      <c r="G16" s="30">
        <v>1.146</v>
      </c>
      <c r="H16" s="30">
        <v>0</v>
      </c>
      <c r="I16" s="19">
        <f>1.669-I15-I14</f>
        <v>-17.854</v>
      </c>
      <c r="J16" s="19">
        <v>-57.591</v>
      </c>
      <c r="K16" s="31">
        <f>C16/'Balance Sheet '!E14</f>
        <v>0.007932559714570979</v>
      </c>
      <c r="L16" s="17">
        <f>C16/C15-1</f>
        <v>-0.0672208538587849</v>
      </c>
      <c r="M16" s="19">
        <f>J16-I16+H16+G16-F16+E16-C16</f>
        <v>-48.167</v>
      </c>
      <c r="N16" s="17">
        <f>(J16+-I16+H16+G16-F16+E16-C16)/C16</f>
        <v>-5.2994828914072</v>
      </c>
      <c r="O16" s="17">
        <f>AVERAGE(N10:N16)</f>
        <v>-2.2232453730576</v>
      </c>
    </row>
    <row r="17" ht="20.05" customHeight="1">
      <c r="B17" s="32"/>
      <c r="C17" s="34"/>
      <c r="D17" s="35">
        <f>'Model'!C6</f>
        <v>10.9068</v>
      </c>
      <c r="E17" s="33"/>
      <c r="F17" s="17"/>
      <c r="G17" s="17"/>
      <c r="H17" s="17"/>
      <c r="I17" s="19"/>
      <c r="J17" s="19"/>
      <c r="K17" s="12"/>
      <c r="L17" s="12"/>
      <c r="M17" s="12"/>
      <c r="N17" s="12"/>
      <c r="O17" s="12">
        <f>'Model'!C7</f>
        <v>-1.98059373247429</v>
      </c>
    </row>
    <row r="18" ht="20.05" customHeight="1">
      <c r="B18" s="28">
        <v>2022</v>
      </c>
      <c r="C18" s="34"/>
      <c r="D18" s="35">
        <f>'Model'!D6</f>
        <v>11.45214</v>
      </c>
      <c r="E18" s="33"/>
      <c r="F18" s="19"/>
      <c r="G18" s="19"/>
      <c r="H18" s="19"/>
      <c r="I18" s="19"/>
      <c r="J18" s="19"/>
      <c r="K18" s="17"/>
      <c r="L18" s="12"/>
      <c r="M18" s="12"/>
      <c r="N18" s="12"/>
      <c r="O18" s="12"/>
    </row>
    <row r="19" ht="20.05" customHeight="1">
      <c r="B19" s="32"/>
      <c r="C19" s="34"/>
      <c r="D19" s="35">
        <f>'Model'!E6</f>
        <v>12.597354</v>
      </c>
      <c r="E19" s="33"/>
      <c r="F19" s="19"/>
      <c r="G19" s="19"/>
      <c r="H19" s="19"/>
      <c r="I19" s="19"/>
      <c r="J19" s="19"/>
      <c r="K19" s="12"/>
      <c r="L19" s="12"/>
      <c r="M19" s="12"/>
      <c r="N19" s="12"/>
      <c r="O19" s="12"/>
    </row>
    <row r="20" ht="20.05" customHeight="1">
      <c r="B20" s="32"/>
      <c r="C20" s="34"/>
      <c r="D20" s="35">
        <f>'Model'!F6</f>
        <v>14.4869571</v>
      </c>
      <c r="E20" s="33"/>
      <c r="F20" s="19"/>
      <c r="G20" s="19"/>
      <c r="H20" s="19"/>
      <c r="I20" s="19"/>
      <c r="J20" s="19"/>
      <c r="K20" s="12"/>
      <c r="L20" s="12"/>
      <c r="M20" s="12"/>
      <c r="N20" s="12"/>
      <c r="O20" s="12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4141" style="36" customWidth="1"/>
    <col min="2" max="12" width="10.2422" style="36" customWidth="1"/>
    <col min="13" max="16384" width="16.3516" style="36" customWidth="1"/>
  </cols>
  <sheetData>
    <row r="1" ht="72.6" customHeight="1"/>
    <row r="2" ht="27.65" customHeight="1">
      <c r="B2" t="s" s="2">
        <v>49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56.25" customHeight="1">
      <c r="B3" t="s" s="4">
        <v>1</v>
      </c>
      <c r="C3" t="s" s="4">
        <v>50</v>
      </c>
      <c r="D3" t="s" s="4">
        <v>51</v>
      </c>
      <c r="E3" t="s" s="4">
        <v>52</v>
      </c>
      <c r="F3" t="s" s="4">
        <v>53</v>
      </c>
      <c r="G3" t="s" s="4">
        <v>24</v>
      </c>
      <c r="H3" t="s" s="4">
        <v>25</v>
      </c>
      <c r="I3" t="s" s="4">
        <v>10</v>
      </c>
      <c r="J3" t="s" s="4">
        <v>54</v>
      </c>
      <c r="K3" t="s" s="4">
        <v>55</v>
      </c>
      <c r="L3" t="s" s="4">
        <v>28</v>
      </c>
    </row>
    <row r="4" ht="20.25" customHeight="1">
      <c r="B4" s="23">
        <v>2014</v>
      </c>
      <c r="C4" s="37">
        <v>15.401</v>
      </c>
      <c r="D4" s="38">
        <v>-1.656</v>
      </c>
      <c r="E4" s="38">
        <v>-27.785</v>
      </c>
      <c r="F4" s="38">
        <v>57.481</v>
      </c>
      <c r="G4" s="38">
        <v>0</v>
      </c>
      <c r="H4" s="38">
        <v>0</v>
      </c>
      <c r="I4" s="38">
        <v>0</v>
      </c>
      <c r="J4" s="38">
        <f>C4+D4</f>
        <v>13.745</v>
      </c>
      <c r="K4" s="38">
        <f>AVERAGE(J4:J4)</f>
        <v>13.745</v>
      </c>
      <c r="L4" s="38">
        <f>-I4</f>
        <v>0</v>
      </c>
    </row>
    <row r="5" ht="20.05" customHeight="1">
      <c r="B5" s="28">
        <v>2015</v>
      </c>
      <c r="C5" s="18">
        <v>68.402</v>
      </c>
      <c r="D5" s="19">
        <v>-0.754</v>
      </c>
      <c r="E5" s="19">
        <v>-241.051</v>
      </c>
      <c r="F5" s="19">
        <v>-94.36799999999999</v>
      </c>
      <c r="G5" s="19">
        <v>0</v>
      </c>
      <c r="H5" s="19">
        <v>0</v>
      </c>
      <c r="I5" s="19">
        <v>0</v>
      </c>
      <c r="J5" s="19">
        <f>C5+D5</f>
        <v>67.648</v>
      </c>
      <c r="K5" s="19">
        <f>AVERAGE(J4:J5)</f>
        <v>40.6965</v>
      </c>
      <c r="L5" s="19">
        <f>-I5+L4</f>
        <v>0</v>
      </c>
    </row>
    <row r="6" ht="20.05" customHeight="1">
      <c r="B6" s="28">
        <v>2016</v>
      </c>
      <c r="C6" s="18">
        <v>-241.925</v>
      </c>
      <c r="D6" s="19">
        <v>-2.899</v>
      </c>
      <c r="E6" s="19">
        <v>108.004</v>
      </c>
      <c r="F6" s="19">
        <v>-53.166</v>
      </c>
      <c r="G6" s="19">
        <v>0</v>
      </c>
      <c r="H6" s="19">
        <v>0</v>
      </c>
      <c r="I6" s="19">
        <v>0</v>
      </c>
      <c r="J6" s="19">
        <f>C6+D6</f>
        <v>-244.824</v>
      </c>
      <c r="K6" s="19">
        <f>AVERAGE(J4:J6)</f>
        <v>-54.477</v>
      </c>
      <c r="L6" s="19">
        <f>-I6+L5</f>
        <v>0</v>
      </c>
    </row>
    <row r="7" ht="20.05" customHeight="1">
      <c r="B7" s="28">
        <v>2017</v>
      </c>
      <c r="C7" s="18">
        <v>-231.986</v>
      </c>
      <c r="D7" s="19">
        <f>-0.626</f>
        <v>-0.626</v>
      </c>
      <c r="E7" s="19">
        <v>163.21</v>
      </c>
      <c r="F7" s="19">
        <v>-203.282</v>
      </c>
      <c r="G7" s="19">
        <v>0</v>
      </c>
      <c r="H7" s="19">
        <v>0</v>
      </c>
      <c r="I7" s="19">
        <v>0</v>
      </c>
      <c r="J7" s="19">
        <f>C7+D7</f>
        <v>-232.612</v>
      </c>
      <c r="K7" s="19">
        <f>AVERAGE(J4:J7)</f>
        <v>-99.01075</v>
      </c>
      <c r="L7" s="19">
        <f>-I7+L6</f>
        <v>0</v>
      </c>
    </row>
    <row r="8" ht="20.05" customHeight="1">
      <c r="B8" s="28">
        <v>2018</v>
      </c>
      <c r="C8" s="18">
        <v>-85.372</v>
      </c>
      <c r="D8" s="19">
        <f>-4.499</f>
        <v>-4.499</v>
      </c>
      <c r="E8" s="19">
        <v>-283.631</v>
      </c>
      <c r="F8" s="19">
        <v>376.676</v>
      </c>
      <c r="G8" s="19">
        <v>0</v>
      </c>
      <c r="H8" s="19">
        <v>0</v>
      </c>
      <c r="I8" s="19">
        <v>0</v>
      </c>
      <c r="J8" s="19">
        <f>C8+D8</f>
        <v>-89.871</v>
      </c>
      <c r="K8" s="19">
        <f>AVERAGE(J5:J8)</f>
        <v>-124.91475</v>
      </c>
      <c r="L8" s="19">
        <f>-I8+L7</f>
        <v>0</v>
      </c>
    </row>
    <row r="9" ht="20.05" customHeight="1">
      <c r="B9" s="28">
        <v>2019</v>
      </c>
      <c r="C9" s="18">
        <v>57.719</v>
      </c>
      <c r="D9" s="19">
        <v>0</v>
      </c>
      <c r="E9" s="19">
        <v>114.037</v>
      </c>
      <c r="F9" s="19">
        <v>-374.69</v>
      </c>
      <c r="G9" s="19">
        <v>0</v>
      </c>
      <c r="H9" s="19">
        <v>0</v>
      </c>
      <c r="I9" s="19">
        <v>0</v>
      </c>
      <c r="J9" s="19">
        <f>C9+D9</f>
        <v>57.719</v>
      </c>
      <c r="K9" s="19">
        <f>AVERAGE(J6:J9)</f>
        <v>-127.397</v>
      </c>
      <c r="L9" s="19">
        <f>-I9+L8</f>
        <v>0</v>
      </c>
    </row>
    <row r="10" ht="20.05" customHeight="1">
      <c r="B10" s="28">
        <v>2020</v>
      </c>
      <c r="C10" s="18">
        <v>-0.6919999999999999</v>
      </c>
      <c r="D10" s="19">
        <v>-0.011</v>
      </c>
      <c r="E10" s="19">
        <v>6.154</v>
      </c>
      <c r="F10" s="19">
        <v>-81.883</v>
      </c>
      <c r="G10" s="19">
        <v>0</v>
      </c>
      <c r="H10" s="19">
        <v>0</v>
      </c>
      <c r="I10" s="19">
        <v>0</v>
      </c>
      <c r="J10" s="19">
        <f>C10+D10</f>
        <v>-0.703</v>
      </c>
      <c r="K10" s="19"/>
      <c r="L10" s="19">
        <f>-I10+L9</f>
        <v>0</v>
      </c>
    </row>
    <row r="11" ht="20.05" customHeight="1">
      <c r="B11" s="32"/>
      <c r="C11" s="18">
        <v>-2.505</v>
      </c>
      <c r="D11" s="19">
        <v>0</v>
      </c>
      <c r="E11" s="19">
        <v>66.872</v>
      </c>
      <c r="F11" s="19">
        <v>7.722</v>
      </c>
      <c r="G11" s="19">
        <v>0</v>
      </c>
      <c r="H11" s="19">
        <v>0</v>
      </c>
      <c r="I11" s="19">
        <v>0</v>
      </c>
      <c r="J11" s="19">
        <f>C11+D11</f>
        <v>-2.505</v>
      </c>
      <c r="K11" s="19">
        <f>AVERAGE(J10:J11)</f>
        <v>-1.604</v>
      </c>
      <c r="L11" s="19">
        <f>-I11+L10</f>
        <v>0</v>
      </c>
    </row>
    <row r="12" ht="20.05" customHeight="1">
      <c r="B12" s="32"/>
      <c r="C12" s="18">
        <v>-3.022</v>
      </c>
      <c r="D12" s="19">
        <v>-0.004</v>
      </c>
      <c r="E12" s="19">
        <v>-64.29900000000001</v>
      </c>
      <c r="F12" s="19">
        <v>210.054</v>
      </c>
      <c r="G12" s="19">
        <v>0</v>
      </c>
      <c r="H12" s="19">
        <v>0</v>
      </c>
      <c r="I12" s="19">
        <v>0</v>
      </c>
      <c r="J12" s="19">
        <f>C12+D12</f>
        <v>-3.026</v>
      </c>
      <c r="K12" s="19">
        <f>AVERAGE(J10:J12)</f>
        <v>-2.078</v>
      </c>
      <c r="L12" s="19">
        <f>-I12+L11</f>
        <v>0</v>
      </c>
    </row>
    <row r="13" ht="20.05" customHeight="1">
      <c r="B13" s="32"/>
      <c r="C13" s="18">
        <v>-9.225</v>
      </c>
      <c r="D13" s="19">
        <v>-12.702</v>
      </c>
      <c r="E13" s="19">
        <v>-0.958</v>
      </c>
      <c r="F13" s="19">
        <v>-209.94</v>
      </c>
      <c r="G13" s="19">
        <v>0</v>
      </c>
      <c r="H13" s="19">
        <v>0</v>
      </c>
      <c r="I13" s="19">
        <v>0</v>
      </c>
      <c r="J13" s="19">
        <f>C13+D13</f>
        <v>-21.927</v>
      </c>
      <c r="K13" s="19">
        <f>AVERAGE(J10:J13)</f>
        <v>-7.04025</v>
      </c>
      <c r="L13" s="19">
        <f>-I13+L12</f>
        <v>0</v>
      </c>
    </row>
    <row r="14" ht="20.05" customHeight="1">
      <c r="B14" s="28">
        <v>2021</v>
      </c>
      <c r="C14" s="18">
        <v>-4.784</v>
      </c>
      <c r="D14" s="19">
        <v>-0.645</v>
      </c>
      <c r="E14" s="19">
        <v>-18.329</v>
      </c>
      <c r="F14" s="19">
        <v>-505.681</v>
      </c>
      <c r="G14" s="19">
        <v>0</v>
      </c>
      <c r="H14" s="19">
        <v>510.388</v>
      </c>
      <c r="I14" s="19">
        <v>510.388</v>
      </c>
      <c r="J14" s="19">
        <f>C14+D14</f>
        <v>-5.429</v>
      </c>
      <c r="K14" s="19">
        <f>AVERAGE(J11:J14)</f>
        <v>-8.22175</v>
      </c>
      <c r="L14" s="19">
        <f>-I14+L13</f>
        <v>-510.388</v>
      </c>
    </row>
    <row r="15" ht="20.05" customHeight="1">
      <c r="B15" s="32"/>
      <c r="C15" s="18">
        <v>-12.307</v>
      </c>
      <c r="D15" s="19">
        <v>-0.66</v>
      </c>
      <c r="E15" s="19">
        <v>-20.421</v>
      </c>
      <c r="F15" s="19">
        <v>59.152</v>
      </c>
      <c r="G15" s="19">
        <v>0</v>
      </c>
      <c r="H15" s="19">
        <v>0</v>
      </c>
      <c r="I15" s="19">
        <v>0</v>
      </c>
      <c r="J15" s="19">
        <f>C15+D15</f>
        <v>-12.967</v>
      </c>
      <c r="K15" s="19">
        <f>AVERAGE(J12:J15)</f>
        <v>-10.83725</v>
      </c>
      <c r="L15" s="19">
        <f>-I15+L14</f>
        <v>-510.388</v>
      </c>
    </row>
    <row r="16" ht="20.05" customHeight="1">
      <c r="B16" s="32"/>
      <c r="C16" s="18">
        <v>-41.524</v>
      </c>
      <c r="D16" s="19">
        <v>-6.872</v>
      </c>
      <c r="E16" s="19">
        <v>-30.009</v>
      </c>
      <c r="F16" s="19">
        <v>-19.409</v>
      </c>
      <c r="G16" s="19">
        <v>0</v>
      </c>
      <c r="H16" s="19">
        <v>5.284</v>
      </c>
      <c r="I16" s="19">
        <v>5.284</v>
      </c>
      <c r="J16" s="19">
        <f>C16+D16</f>
        <v>-48.396</v>
      </c>
      <c r="K16" s="19">
        <f>AVERAGE(J13:J16)</f>
        <v>-22.17975</v>
      </c>
      <c r="L16" s="19">
        <f>-I16+L15</f>
        <v>-515.672</v>
      </c>
    </row>
    <row r="17" ht="20.05" customHeight="1">
      <c r="B17" s="32"/>
      <c r="C17" s="18"/>
      <c r="D17" s="19"/>
      <c r="E17" s="19"/>
      <c r="F17" s="19"/>
      <c r="G17" s="19"/>
      <c r="H17" s="19"/>
      <c r="I17" s="19"/>
      <c r="J17" s="19"/>
      <c r="K17" s="19">
        <f>SUM('Model'!F9:F10)</f>
        <v>-7.1189826213506</v>
      </c>
      <c r="L17" s="19">
        <f>'Model'!F31</f>
        <v>-552.6525077854041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1875" style="39" customWidth="1"/>
    <col min="2" max="12" width="10.6641" style="39" customWidth="1"/>
    <col min="13" max="16384" width="16.3516" style="39" customWidth="1"/>
  </cols>
  <sheetData>
    <row r="1" ht="11.3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56.25" customHeight="1">
      <c r="B3" t="s" s="4">
        <v>1</v>
      </c>
      <c r="C3" t="s" s="4">
        <v>56</v>
      </c>
      <c r="D3" t="s" s="4">
        <v>57</v>
      </c>
      <c r="E3" t="s" s="4">
        <v>22</v>
      </c>
      <c r="F3" t="s" s="4">
        <v>18</v>
      </c>
      <c r="G3" t="s" s="4">
        <v>41</v>
      </c>
      <c r="H3" t="s" s="4">
        <v>58</v>
      </c>
      <c r="I3" t="s" s="4">
        <v>11</v>
      </c>
      <c r="J3" t="s" s="4">
        <v>26</v>
      </c>
      <c r="K3" t="s" s="4">
        <v>59</v>
      </c>
      <c r="L3" t="s" s="4">
        <v>60</v>
      </c>
    </row>
    <row r="4" ht="20.9" customHeight="1">
      <c r="B4" s="23">
        <v>2013</v>
      </c>
      <c r="C4" s="37">
        <f>1.036+29.064+276.309+257.5</f>
        <v>563.909</v>
      </c>
      <c r="D4" s="38">
        <v>2299.643</v>
      </c>
      <c r="E4" s="38">
        <f>D4-C4</f>
        <v>1735.734</v>
      </c>
      <c r="F4" s="38">
        <f>13.185+0.033</f>
        <v>13.218</v>
      </c>
      <c r="G4" s="38">
        <f>2.791+0.5+55.403+1.526</f>
        <v>60.22</v>
      </c>
      <c r="H4" s="38">
        <f>535.472+770.97</f>
        <v>1306.442</v>
      </c>
      <c r="I4" s="38">
        <v>993.201</v>
      </c>
      <c r="J4" s="38">
        <f>H4+I4-C4-E4</f>
        <v>0</v>
      </c>
      <c r="K4" s="27"/>
      <c r="L4" s="27"/>
    </row>
    <row r="5" ht="20.9" customHeight="1">
      <c r="B5" s="28">
        <v>2014</v>
      </c>
      <c r="C5" s="18">
        <f>1.069+37.31+68.791+494.165</f>
        <v>601.335</v>
      </c>
      <c r="D5" s="19">
        <v>2449.541</v>
      </c>
      <c r="E5" s="19">
        <f>D5-C5</f>
        <v>1848.206</v>
      </c>
      <c r="F5" s="19">
        <f>15.796+0.158</f>
        <v>15.954</v>
      </c>
      <c r="G5" s="19">
        <f>2.576+0.747+24.742+0.695</f>
        <v>28.76</v>
      </c>
      <c r="H5" s="19">
        <f>512.714+888.11</f>
        <v>1400.824</v>
      </c>
      <c r="I5" s="19">
        <v>1048.717</v>
      </c>
      <c r="J5" s="19">
        <f>H5+I5-C5-E5</f>
        <v>0</v>
      </c>
      <c r="K5" s="17">
        <f>E5/E4-1</f>
        <v>0.0647979471508883</v>
      </c>
      <c r="L5" s="17">
        <f>H5/H4-1</f>
        <v>0.0722435439154589</v>
      </c>
    </row>
    <row r="6" ht="20.9" customHeight="1">
      <c r="B6" s="28">
        <v>2015</v>
      </c>
      <c r="C6" s="18">
        <f>2.066+30.819+54.299+187.11</f>
        <v>274.294</v>
      </c>
      <c r="D6" s="19">
        <v>1743.439</v>
      </c>
      <c r="E6" s="19">
        <f>D6-C6</f>
        <v>1469.145</v>
      </c>
      <c r="F6" s="19">
        <f>17.652+0.068</f>
        <v>17.72</v>
      </c>
      <c r="G6" s="19">
        <f>0.548+0.4+1.5+340.49+1.873+156.105+0.159</f>
        <v>501.075</v>
      </c>
      <c r="H6" s="19">
        <f>275.45+713.384</f>
        <v>988.8339999999999</v>
      </c>
      <c r="I6" s="19">
        <v>754.605</v>
      </c>
      <c r="J6" s="19">
        <f>H6+I6-C6-E6</f>
        <v>0</v>
      </c>
      <c r="K6" s="17">
        <f>E6/E5-1</f>
        <v>-0.205096726230734</v>
      </c>
      <c r="L6" s="17">
        <f>H6/H5-1</f>
        <v>-0.294105469352324</v>
      </c>
    </row>
    <row r="7" ht="20.9" customHeight="1">
      <c r="B7" s="28">
        <v>2016</v>
      </c>
      <c r="C7" s="18">
        <f>1.338+32.753+15.994+278.5</f>
        <v>328.585</v>
      </c>
      <c r="D7" s="19">
        <v>1344.72</v>
      </c>
      <c r="E7" s="19">
        <f>D7-C7</f>
        <v>1016.135</v>
      </c>
      <c r="F7" s="19">
        <f>19.036+0.059</f>
        <v>19.095</v>
      </c>
      <c r="G7" s="19">
        <f>0.104+154.777+241.684+1.5+0.162</f>
        <v>398.227</v>
      </c>
      <c r="H7" s="19">
        <f>323.237+429.372</f>
        <v>752.609</v>
      </c>
      <c r="I7" s="19">
        <v>592.111</v>
      </c>
      <c r="J7" s="19">
        <f>H7+I7-C7-E7</f>
        <v>0</v>
      </c>
      <c r="K7" s="17">
        <f>E7/E6-1</f>
        <v>-0.308349414115012</v>
      </c>
      <c r="L7" s="17">
        <f>H7/H6-1</f>
        <v>-0.23889247335751</v>
      </c>
    </row>
    <row r="8" ht="20.9" customHeight="1">
      <c r="B8" s="28">
        <v>2017</v>
      </c>
      <c r="C8" s="18">
        <f>0.91+30.437+13.138+244.2</f>
        <v>288.685</v>
      </c>
      <c r="D8" s="19">
        <v>1275.648</v>
      </c>
      <c r="E8" s="19">
        <f>D8-C8</f>
        <v>986.963</v>
      </c>
      <c r="F8" s="19">
        <f>23.366+0.018</f>
        <v>23.384</v>
      </c>
      <c r="G8" s="19">
        <f>0.028+0.378+58.044+1.5+0.133</f>
        <v>60.083</v>
      </c>
      <c r="H8" s="19">
        <f>405.293+286.705</f>
        <v>691.998</v>
      </c>
      <c r="I8" s="19">
        <v>583.65</v>
      </c>
      <c r="J8" s="19">
        <f>H8+I8-C8-E8</f>
        <v>0</v>
      </c>
      <c r="K8" s="17">
        <f>E8/E7-1</f>
        <v>-0.0287087837738096</v>
      </c>
      <c r="L8" s="17">
        <f>H8/H7-1</f>
        <v>-0.080534513937516</v>
      </c>
    </row>
    <row r="9" ht="20.9" customHeight="1">
      <c r="B9" s="28">
        <v>2018</v>
      </c>
      <c r="C9" s="18">
        <f>1.419+4.61+10.639+365.1</f>
        <v>381.768</v>
      </c>
      <c r="D9" s="19">
        <v>661.912</v>
      </c>
      <c r="E9" s="19">
        <f>D9-C9</f>
        <v>280.144</v>
      </c>
      <c r="F9" s="19">
        <v>22.502</v>
      </c>
      <c r="G9" s="19">
        <f>3.424+0.107</f>
        <v>3.531</v>
      </c>
      <c r="H9" s="19">
        <v>131.649</v>
      </c>
      <c r="I9" s="19">
        <v>530.263</v>
      </c>
      <c r="J9" s="19">
        <f>H9+I9-C9-E9</f>
        <v>0</v>
      </c>
      <c r="K9" s="17">
        <f>E9/E8-1</f>
        <v>-0.716155519507823</v>
      </c>
      <c r="L9" s="17">
        <f>H9/H8-1</f>
        <v>-0.809755230506447</v>
      </c>
    </row>
    <row r="10" ht="20.9" customHeight="1">
      <c r="B10" s="28">
        <v>2019</v>
      </c>
      <c r="C10" s="18">
        <f>0.162+9.437+7.671+104.2</f>
        <v>121.47</v>
      </c>
      <c r="D10" s="19">
        <v>715.623</v>
      </c>
      <c r="E10" s="19">
        <f>D10-C10</f>
        <v>594.153</v>
      </c>
      <c r="F10" s="19">
        <v>19.737</v>
      </c>
      <c r="G10" s="19">
        <f>0.264+0.077</f>
        <v>0.341</v>
      </c>
      <c r="H10" s="19">
        <v>119.906</v>
      </c>
      <c r="I10" s="19">
        <v>595.717</v>
      </c>
      <c r="J10" s="19">
        <f>H10+I10-C10-E10</f>
        <v>0</v>
      </c>
      <c r="K10" s="17">
        <f>E10/E9-1</f>
        <v>1.12088425952367</v>
      </c>
      <c r="L10" s="17">
        <f>H10/H9-1</f>
        <v>-0.0891993102872031</v>
      </c>
    </row>
    <row r="11" ht="20.9" customHeight="1">
      <c r="B11" s="28">
        <v>2020</v>
      </c>
      <c r="C11" s="18">
        <f>0.182+4.163+2.018+49.1</f>
        <v>55.463</v>
      </c>
      <c r="D11" s="19">
        <v>721.397</v>
      </c>
      <c r="E11" s="19">
        <f>D11-C11</f>
        <v>665.934</v>
      </c>
      <c r="F11" s="19">
        <f>19.739</f>
        <v>19.739</v>
      </c>
      <c r="G11" s="19">
        <f>0.002+0.02</f>
        <v>0.022</v>
      </c>
      <c r="H11" s="19">
        <f>39.961+40.162</f>
        <v>80.123</v>
      </c>
      <c r="I11" s="19">
        <v>641.274</v>
      </c>
      <c r="J11" s="19">
        <f>H11+I11-C11-E11</f>
        <v>0</v>
      </c>
      <c r="K11" s="17">
        <f>E11/E10-1</f>
        <v>0.120812316019611</v>
      </c>
      <c r="L11" s="17">
        <f>H11/H10-1</f>
        <v>-0.331784898170233</v>
      </c>
    </row>
    <row r="12" ht="20.9" customHeight="1">
      <c r="B12" s="28">
        <v>2021</v>
      </c>
      <c r="C12" s="18">
        <f>0.336+4.359+5.63+31.7</f>
        <v>42.025</v>
      </c>
      <c r="D12" s="19">
        <v>1221.492</v>
      </c>
      <c r="E12" s="19">
        <f>D12-C12</f>
        <v>1179.467</v>
      </c>
      <c r="F12" s="19">
        <v>20.378</v>
      </c>
      <c r="G12" s="19">
        <f>0.057+3.986+0.001</f>
        <v>4.044</v>
      </c>
      <c r="H12" s="19">
        <f>26.601+38.08</f>
        <v>64.681</v>
      </c>
      <c r="I12" s="19">
        <v>1156.811</v>
      </c>
      <c r="J12" s="19">
        <f>H12+I12-C12-E12</f>
        <v>0</v>
      </c>
      <c r="K12" s="17">
        <f>E12/E11-1</f>
        <v>0.771146990542606</v>
      </c>
      <c r="L12" s="17">
        <f>H12/H11-1</f>
        <v>-0.19272867965503</v>
      </c>
    </row>
    <row r="13" ht="20.9" customHeight="1">
      <c r="B13" s="32"/>
      <c r="C13" s="18">
        <f>0.271+12.695+4.396+63.4</f>
        <v>80.762</v>
      </c>
      <c r="D13" s="19">
        <v>1206.484</v>
      </c>
      <c r="E13" s="19">
        <f>D13-C13</f>
        <v>1125.722</v>
      </c>
      <c r="F13" s="19">
        <f>21.058</f>
        <v>21.058</v>
      </c>
      <c r="G13" s="19">
        <f>0.044+4.022+0.001</f>
        <v>4.067</v>
      </c>
      <c r="H13" s="19">
        <f>17.691+38.093</f>
        <v>55.784</v>
      </c>
      <c r="I13" s="19">
        <v>1150.7</v>
      </c>
      <c r="J13" s="19">
        <f>H13+I13-C13-E13</f>
        <v>0</v>
      </c>
      <c r="K13" s="17">
        <f>E13/E12-1</f>
        <v>-0.0455671926387088</v>
      </c>
      <c r="L13" s="17">
        <f>H13/H12-1</f>
        <v>-0.137551985900032</v>
      </c>
    </row>
    <row r="14" ht="20.9" customHeight="1">
      <c r="B14" s="32"/>
      <c r="C14" s="18">
        <f>0.233+11.211+3.154+22</f>
        <v>36.598</v>
      </c>
      <c r="D14" s="19">
        <v>1182.382</v>
      </c>
      <c r="E14" s="19">
        <f>D14-C14</f>
        <v>1145.784</v>
      </c>
      <c r="F14" s="19">
        <v>21.837</v>
      </c>
      <c r="G14" s="19">
        <f>0.032+3.548</f>
        <v>3.58</v>
      </c>
      <c r="H14" s="19">
        <f>43.238+38.12</f>
        <v>81.358</v>
      </c>
      <c r="I14" s="19">
        <v>1101.024</v>
      </c>
      <c r="J14" s="19">
        <f>H14+I14-C14-E14</f>
        <v>0</v>
      </c>
      <c r="K14" s="17">
        <f>E14/E13-1</f>
        <v>0.017821451477363</v>
      </c>
      <c r="L14" s="17">
        <f>H14/H13-1</f>
        <v>0.458446866485014</v>
      </c>
    </row>
    <row r="15" ht="20.9" customHeight="1">
      <c r="B15" s="32"/>
      <c r="C15" s="18"/>
      <c r="D15" s="19"/>
      <c r="E15" s="19"/>
      <c r="F15" s="19"/>
      <c r="G15" s="19"/>
      <c r="H15" s="19"/>
      <c r="I15" s="19"/>
      <c r="J15" s="19"/>
      <c r="K15" s="17"/>
      <c r="L15" s="17"/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47656" style="40" customWidth="1"/>
    <col min="2" max="2" width="7.92969" style="40" customWidth="1"/>
    <col min="3" max="5" width="10.3203" style="40" customWidth="1"/>
    <col min="6" max="16384" width="16.3516" style="40" customWidth="1"/>
  </cols>
  <sheetData>
    <row r="1" ht="13.25" customHeight="1"/>
    <row r="2" ht="27.65" customHeight="1">
      <c r="B2" t="s" s="2">
        <v>61</v>
      </c>
      <c r="C2" s="2"/>
      <c r="D2" s="2"/>
      <c r="E2" s="2"/>
    </row>
    <row r="3" ht="20.25" customHeight="1">
      <c r="B3" s="5"/>
      <c r="C3" t="s" s="41">
        <v>62</v>
      </c>
      <c r="D3" t="s" s="42">
        <v>36</v>
      </c>
      <c r="E3" s="43"/>
    </row>
    <row r="4" ht="20.25" customHeight="1">
      <c r="B4" t="s" s="44">
        <v>63</v>
      </c>
      <c r="C4" s="37">
        <v>103</v>
      </c>
      <c r="D4" s="38"/>
      <c r="E4" s="38"/>
    </row>
    <row r="5" ht="20.05" customHeight="1">
      <c r="B5" s="45">
        <v>2021</v>
      </c>
      <c r="C5" s="18">
        <v>2650</v>
      </c>
      <c r="D5" s="19"/>
      <c r="E5" s="19"/>
    </row>
    <row r="6" ht="20.05" customHeight="1">
      <c r="B6" s="46"/>
      <c r="C6" s="18">
        <v>3210</v>
      </c>
      <c r="D6" s="19"/>
      <c r="E6" s="19"/>
    </row>
    <row r="7" ht="20.05" customHeight="1">
      <c r="B7" s="46"/>
      <c r="C7" s="18">
        <v>2950</v>
      </c>
      <c r="D7" s="19"/>
      <c r="E7" s="19"/>
    </row>
    <row r="8" ht="20.05" customHeight="1">
      <c r="B8" s="46"/>
      <c r="C8" s="18">
        <v>2290</v>
      </c>
      <c r="D8" s="19"/>
      <c r="E8" s="19"/>
    </row>
    <row r="9" ht="20.05" customHeight="1">
      <c r="B9" s="47">
        <v>2022</v>
      </c>
      <c r="C9" s="18">
        <v>2250</v>
      </c>
      <c r="D9" s="19">
        <f>C9/$C$4*100</f>
        <v>2184.466019417480</v>
      </c>
      <c r="E9" s="33"/>
    </row>
    <row r="10" ht="20.05" customHeight="1">
      <c r="B10" s="46"/>
      <c r="C10" s="18"/>
      <c r="D10" s="19">
        <f>'Model'!F40</f>
        <v>1103.067799492390</v>
      </c>
      <c r="E10" s="3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0781" style="48" customWidth="1"/>
    <col min="2" max="2" width="9.11719" style="48" customWidth="1"/>
    <col min="3" max="9" width="10.4922" style="48" customWidth="1"/>
    <col min="10" max="16384" width="16.3516" style="48" customWidth="1"/>
  </cols>
  <sheetData>
    <row r="1" ht="22.2" customHeight="1"/>
    <row r="2" ht="27.65" customHeight="1">
      <c r="B2" t="s" s="2">
        <v>64</v>
      </c>
      <c r="C2" s="2"/>
      <c r="D2" s="2"/>
      <c r="E2" s="2"/>
      <c r="F2" s="2"/>
      <c r="G2" s="2"/>
      <c r="H2" s="2"/>
      <c r="I2" s="2"/>
    </row>
    <row r="3" ht="20.25" customHeight="1">
      <c r="B3" s="49"/>
      <c r="C3" t="s" s="4">
        <v>24</v>
      </c>
      <c r="D3" t="s" s="4">
        <v>25</v>
      </c>
      <c r="E3" t="s" s="4">
        <v>65</v>
      </c>
      <c r="F3" t="s" s="4">
        <v>24</v>
      </c>
      <c r="G3" t="s" s="4">
        <v>25</v>
      </c>
      <c r="H3" t="s" s="4">
        <v>65</v>
      </c>
      <c r="I3" s="5"/>
    </row>
    <row r="4" ht="20.25" customHeight="1">
      <c r="B4" s="23">
        <v>2005</v>
      </c>
      <c r="C4" s="37"/>
      <c r="D4" s="38"/>
      <c r="E4" s="38">
        <f>SUM(C4:D4)</f>
        <v>0</v>
      </c>
      <c r="F4" s="38">
        <f>C4</f>
        <v>0</v>
      </c>
      <c r="G4" s="38">
        <f>D4</f>
        <v>0</v>
      </c>
      <c r="H4" s="38">
        <f>E4</f>
        <v>0</v>
      </c>
      <c r="I4" s="50">
        <f>-H4</f>
        <v>0</v>
      </c>
    </row>
    <row r="5" ht="20.05" customHeight="1">
      <c r="B5" s="28">
        <v>2006</v>
      </c>
      <c r="C5" s="18"/>
      <c r="D5" s="19"/>
      <c r="E5" s="19">
        <f>SUM(C5:D5)</f>
        <v>0</v>
      </c>
      <c r="F5" s="19">
        <f>C5+F4</f>
        <v>0</v>
      </c>
      <c r="G5" s="19">
        <f>D5+G4</f>
        <v>0</v>
      </c>
      <c r="H5" s="19">
        <f>E5+H4</f>
        <v>0</v>
      </c>
      <c r="I5" s="35">
        <f>-H5</f>
        <v>0</v>
      </c>
    </row>
    <row r="6" ht="20.05" customHeight="1">
      <c r="B6" s="28">
        <v>2007</v>
      </c>
      <c r="C6" s="18"/>
      <c r="D6" s="19"/>
      <c r="E6" s="19">
        <f>SUM(C6:D6)</f>
        <v>0</v>
      </c>
      <c r="F6" s="19">
        <f>C6+F5</f>
        <v>0</v>
      </c>
      <c r="G6" s="19">
        <f>D6+G5</f>
        <v>0</v>
      </c>
      <c r="H6" s="19">
        <f>E6+H5</f>
        <v>0</v>
      </c>
      <c r="I6" s="35">
        <f>-H6</f>
        <v>0</v>
      </c>
    </row>
    <row r="7" ht="20.05" customHeight="1">
      <c r="B7" s="28">
        <v>2008</v>
      </c>
      <c r="C7" s="18"/>
      <c r="D7" s="19"/>
      <c r="E7" s="19">
        <f>SUM(C7:D7)</f>
        <v>0</v>
      </c>
      <c r="F7" s="19">
        <f>C7+F6</f>
        <v>0</v>
      </c>
      <c r="G7" s="19">
        <f>D7+G6</f>
        <v>0</v>
      </c>
      <c r="H7" s="19">
        <f>E7+H6</f>
        <v>0</v>
      </c>
      <c r="I7" s="35">
        <f>-H7</f>
        <v>0</v>
      </c>
    </row>
    <row r="8" ht="20.05" customHeight="1">
      <c r="B8" s="28">
        <v>2009</v>
      </c>
      <c r="C8" s="18"/>
      <c r="D8" s="19"/>
      <c r="E8" s="19">
        <f>SUM(C8:D8)</f>
        <v>0</v>
      </c>
      <c r="F8" s="19">
        <f>C8+F7</f>
        <v>0</v>
      </c>
      <c r="G8" s="19">
        <f>D8+G7</f>
        <v>0</v>
      </c>
      <c r="H8" s="19">
        <f>E8+H7</f>
        <v>0</v>
      </c>
      <c r="I8" s="35">
        <f>-H8</f>
        <v>0</v>
      </c>
    </row>
    <row r="9" ht="20.05" customHeight="1">
      <c r="B9" s="28">
        <v>2010</v>
      </c>
      <c r="C9" s="18"/>
      <c r="D9" s="19"/>
      <c r="E9" s="19">
        <f>SUM(C9:D9)</f>
        <v>0</v>
      </c>
      <c r="F9" s="19">
        <f>C9+F8</f>
        <v>0</v>
      </c>
      <c r="G9" s="19">
        <f>D9+G8</f>
        <v>0</v>
      </c>
      <c r="H9" s="19">
        <f>E9+H8</f>
        <v>0</v>
      </c>
      <c r="I9" s="35">
        <f>-H9</f>
        <v>0</v>
      </c>
    </row>
    <row r="10" ht="20.05" customHeight="1">
      <c r="B10" s="28">
        <v>2011</v>
      </c>
      <c r="C10" s="18"/>
      <c r="D10" s="19"/>
      <c r="E10" s="19">
        <f>SUM(C10:D10)</f>
        <v>0</v>
      </c>
      <c r="F10" s="19">
        <f>C10+F9</f>
        <v>0</v>
      </c>
      <c r="G10" s="19">
        <f>D10+G9</f>
        <v>0</v>
      </c>
      <c r="H10" s="19">
        <f>E10+H9</f>
        <v>0</v>
      </c>
      <c r="I10" s="35">
        <f>-H10</f>
        <v>0</v>
      </c>
    </row>
    <row r="11" ht="20.05" customHeight="1">
      <c r="B11" s="28">
        <v>2012</v>
      </c>
      <c r="C11" s="18"/>
      <c r="D11" s="19"/>
      <c r="E11" s="19">
        <f>SUM(C11:D11)</f>
        <v>0</v>
      </c>
      <c r="F11" s="19">
        <f>C11+F10</f>
        <v>0</v>
      </c>
      <c r="G11" s="19">
        <f>D11+G10</f>
        <v>0</v>
      </c>
      <c r="H11" s="19">
        <f>E11+H10</f>
        <v>0</v>
      </c>
      <c r="I11" s="35">
        <f>-H11</f>
        <v>0</v>
      </c>
    </row>
    <row r="12" ht="20.05" customHeight="1">
      <c r="B12" s="28">
        <v>2013</v>
      </c>
      <c r="C12" s="18"/>
      <c r="D12" s="19"/>
      <c r="E12" s="19">
        <f>SUM(C12:D12)</f>
        <v>0</v>
      </c>
      <c r="F12" s="19">
        <f>C12+F11</f>
        <v>0</v>
      </c>
      <c r="G12" s="19">
        <f>D12+G11</f>
        <v>0</v>
      </c>
      <c r="H12" s="19">
        <f>E12+H11</f>
        <v>0</v>
      </c>
      <c r="I12" s="35">
        <f>-H12</f>
        <v>0</v>
      </c>
    </row>
    <row r="13" ht="20.05" customHeight="1">
      <c r="B13" s="28">
        <v>2014</v>
      </c>
      <c r="C13" s="18"/>
      <c r="D13" s="19"/>
      <c r="E13" s="19">
        <f>SUM(C13:D13)</f>
        <v>0</v>
      </c>
      <c r="F13" s="19">
        <f>C13+F12</f>
        <v>0</v>
      </c>
      <c r="G13" s="19">
        <f>D13+G12</f>
        <v>0</v>
      </c>
      <c r="H13" s="19">
        <f>E13+H12</f>
        <v>0</v>
      </c>
      <c r="I13" s="35">
        <f>-H13</f>
        <v>0</v>
      </c>
    </row>
    <row r="14" ht="20.05" customHeight="1">
      <c r="B14" s="28">
        <v>2015</v>
      </c>
      <c r="C14" s="18"/>
      <c r="D14" s="19"/>
      <c r="E14" s="19">
        <f>SUM(C14:D14)</f>
        <v>0</v>
      </c>
      <c r="F14" s="19">
        <f>C14+F13</f>
        <v>0</v>
      </c>
      <c r="G14" s="19">
        <f>D14+G13</f>
        <v>0</v>
      </c>
      <c r="H14" s="19">
        <f>E14+H13</f>
        <v>0</v>
      </c>
      <c r="I14" s="35">
        <f>-H14</f>
        <v>0</v>
      </c>
    </row>
    <row r="15" ht="20.05" customHeight="1">
      <c r="B15" s="28">
        <v>2016</v>
      </c>
      <c r="C15" s="18"/>
      <c r="D15" s="19"/>
      <c r="E15" s="19">
        <f>SUM(C15:D15)</f>
        <v>0</v>
      </c>
      <c r="F15" s="19">
        <f>C15+F14</f>
        <v>0</v>
      </c>
      <c r="G15" s="19">
        <f>D15+G14</f>
        <v>0</v>
      </c>
      <c r="H15" s="19">
        <f>E15+H14</f>
        <v>0</v>
      </c>
      <c r="I15" s="35">
        <f>-H15</f>
        <v>0</v>
      </c>
    </row>
    <row r="16" ht="20.05" customHeight="1">
      <c r="B16" s="28">
        <v>2017</v>
      </c>
      <c r="C16" s="18"/>
      <c r="D16" s="19"/>
      <c r="E16" s="19">
        <f>SUM(C16:D16)</f>
        <v>0</v>
      </c>
      <c r="F16" s="19">
        <f>C16+F15</f>
        <v>0</v>
      </c>
      <c r="G16" s="19">
        <f>D16+G15</f>
        <v>0</v>
      </c>
      <c r="H16" s="19">
        <f>E16+H15</f>
        <v>0</v>
      </c>
      <c r="I16" s="35">
        <f>-H16</f>
        <v>0</v>
      </c>
    </row>
    <row r="17" ht="20.05" customHeight="1">
      <c r="B17" s="28">
        <v>2018</v>
      </c>
      <c r="C17" s="18">
        <v>0</v>
      </c>
      <c r="D17" s="19">
        <v>18</v>
      </c>
      <c r="E17" s="19">
        <f>SUM(C17:D17)</f>
        <v>18</v>
      </c>
      <c r="F17" s="19">
        <f>C17+F16</f>
        <v>0</v>
      </c>
      <c r="G17" s="19">
        <f>D17+G16</f>
        <v>18</v>
      </c>
      <c r="H17" s="19">
        <f>E17+H16</f>
        <v>18</v>
      </c>
      <c r="I17" s="35">
        <f>-H17</f>
        <v>-18</v>
      </c>
    </row>
    <row r="18" ht="20.05" customHeight="1">
      <c r="B18" s="28">
        <v>2019</v>
      </c>
      <c r="C18" s="18">
        <v>0</v>
      </c>
      <c r="D18" s="19">
        <v>0</v>
      </c>
      <c r="E18" s="19">
        <f>SUM(C18:D18)</f>
        <v>0</v>
      </c>
      <c r="F18" s="19">
        <f>C18+F17</f>
        <v>0</v>
      </c>
      <c r="G18" s="19">
        <f>D18+G17</f>
        <v>18</v>
      </c>
      <c r="H18" s="19">
        <f>E18+H17</f>
        <v>18</v>
      </c>
      <c r="I18" s="35">
        <f>-H18</f>
        <v>-18</v>
      </c>
    </row>
    <row r="19" ht="20.05" customHeight="1">
      <c r="B19" s="28">
        <v>2020</v>
      </c>
      <c r="C19" s="18">
        <v>0</v>
      </c>
      <c r="D19" s="19">
        <v>0</v>
      </c>
      <c r="E19" s="19">
        <f>SUM(C19:D19)</f>
        <v>0</v>
      </c>
      <c r="F19" s="19">
        <f>C19+F18</f>
        <v>0</v>
      </c>
      <c r="G19" s="19">
        <f>D19+G18</f>
        <v>18</v>
      </c>
      <c r="H19" s="19">
        <f>E19+H18</f>
        <v>18</v>
      </c>
      <c r="I19" s="35">
        <f>-H19</f>
        <v>-18</v>
      </c>
    </row>
    <row r="20" ht="20.05" customHeight="1">
      <c r="B20" s="28">
        <v>2021</v>
      </c>
      <c r="C20" s="18">
        <v>0</v>
      </c>
      <c r="D20" s="19">
        <v>748</v>
      </c>
      <c r="E20" s="19">
        <f>SUM(C20:D20)</f>
        <v>748</v>
      </c>
      <c r="F20" s="19">
        <f>C20+F19</f>
        <v>0</v>
      </c>
      <c r="G20" s="19">
        <f>D20+G19</f>
        <v>766</v>
      </c>
      <c r="H20" s="19">
        <f>E20+H19</f>
        <v>766</v>
      </c>
      <c r="I20" s="35">
        <f>-H20</f>
        <v>-766</v>
      </c>
    </row>
    <row r="21" ht="20.05" customHeight="1">
      <c r="B21" s="28">
        <v>2022</v>
      </c>
      <c r="C21" s="18"/>
      <c r="D21" s="19">
        <f>SUM('Model'!C12:F12)</f>
        <v>0</v>
      </c>
      <c r="E21" s="19">
        <f>SUM(C21:D21)</f>
        <v>0</v>
      </c>
      <c r="F21" s="19"/>
      <c r="G21" s="19"/>
      <c r="H21" s="19"/>
      <c r="I21" s="33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