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 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<sst xmlns="http://schemas.openxmlformats.org/spreadsheetml/2006/main" uniqueCount="57">
  <si>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</si>
  <si>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</si>
  <si>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2021</t>
  </si>
  <si>
    <t xml:space="preserve">Cashflow 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</si>
  <si>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</si>
  <si>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</si>
  <si>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</si>
  <si>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</si>
  <si>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</si>
  <si>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</si>
  <si>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</si>
  <si>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</si>
  <si>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</si>
  <si>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</si>
  <si>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</si>
  <si>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</si>
  <si>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</si>
  <si>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</si>
  <si>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</si>
  <si>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</si>
  <si>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</si>
  <si>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</si>
  <si>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</si>
  <si>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</si>
  <si>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</si>
  <si>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</si>
  <si>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</si>
  <si>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</si>
  <si>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</si>
  <si>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</si>
  <si>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</si>
  <si>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</si>
  <si>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</si>
  <si>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</si>
  <si>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</si>
  <si>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</si>
  <si>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</si>
  <si>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</si>
  <si>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</si>
  <si>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</si>
  <si>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</si>
  <si>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v forecast </t>
  </si>
  <si>
    <t>FX loss (gain)</t>
  </si>
  <si>
    <t xml:space="preserve">Sales growth </t>
  </si>
  <si>
    <t xml:space="preserve">Cashflow costs </t>
  </si>
  <si>
    <t>Cash flow quarterly</t>
  </si>
  <si>
    <t xml:space="preserve">Receipts </t>
  </si>
  <si>
    <t>Interest</t>
  </si>
  <si>
    <t>Finance</t>
  </si>
  <si>
    <t>Free cashflow</t>
  </si>
  <si>
    <t>Rp bn</t>
  </si>
  <si>
    <t>Cash</t>
  </si>
  <si>
    <t>Assets</t>
  </si>
  <si>
    <t>Net cash</t>
  </si>
  <si>
    <t>Share price</t>
  </si>
  <si>
    <t>ASRI</t>
  </si>
  <si>
    <t>Target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</si>
</sst>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0"/>
      <color indexed="16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4"/>
      </bottom>
      <diagonal/>
    </border>
    <border>
      <left style="thin">
        <color indexed="11"/>
      </left>
      <right style="thin">
        <color indexed="10"/>
      </right>
      <top style="medium">
        <color indexed="14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medium">
        <color indexed="14"/>
      </top>
      <bottom style="thin">
        <color indexed="15"/>
      </bottom>
      <diagonal/>
    </border>
    <border>
      <left style="thin">
        <color indexed="11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5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horizontal="right" vertical="top" wrapText="1"/>
    </xf>
    <xf numFmtId="49" fontId="2" fillId="2" borderId="8" applyNumberFormat="1" applyFont="1" applyFill="1" applyBorder="1" applyAlignment="1" applyProtection="0">
      <alignment vertical="top" wrapText="1"/>
    </xf>
    <xf numFmtId="0" fontId="3" borderId="9" applyNumberFormat="1" applyFont="1" applyFill="0" applyBorder="1" applyAlignment="1" applyProtection="0">
      <alignment horizontal="right" vertical="center" wrapText="1" readingOrder="1"/>
    </xf>
    <xf numFmtId="3" fontId="3" borderId="10" applyNumberFormat="1" applyFont="1" applyFill="0" applyBorder="1" applyAlignment="1" applyProtection="0">
      <alignment horizontal="right" vertical="center" wrapText="1" readingOrder="1"/>
    </xf>
    <xf numFmtId="0" fontId="3" borderId="11" applyNumberFormat="1" applyFont="1" applyFill="0" applyBorder="1" applyAlignment="1" applyProtection="0">
      <alignment horizontal="right" vertical="center" wrapText="1" readingOrder="1"/>
    </xf>
    <xf numFmtId="3" fontId="3" borderId="12" applyNumberFormat="1" applyFont="1" applyFill="0" applyBorder="1" applyAlignment="1" applyProtection="0">
      <alignment horizontal="right" vertical="center" wrapText="1" readingOrder="1"/>
    </xf>
    <xf numFmtId="3" fontId="3" borderId="13" applyNumberFormat="1" applyFont="1" applyFill="0" applyBorder="1" applyAlignment="1" applyProtection="0">
      <alignment horizontal="right" vertical="center" wrapText="1" readingOrder="1"/>
    </xf>
    <xf numFmtId="0" fontId="3" borderId="14" applyNumberFormat="1" applyFont="1" applyFill="0" applyBorder="1" applyAlignment="1" applyProtection="0">
      <alignment horizontal="right" vertical="center" wrapText="1" readingOrder="1"/>
    </xf>
    <xf numFmtId="0" fontId="4" borderId="6" applyNumberFormat="1" applyFont="1" applyFill="0" applyBorder="1" applyAlignment="1" applyProtection="0">
      <alignment horizontal="right" vertical="center" wrapText="1" readingOrder="1"/>
    </xf>
    <xf numFmtId="3" fontId="0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9b9b9"/>
      <rgbColor rgb="ffd9d9d9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585056</xdr:colOff>
      <xdr:row>2</xdr:row>
      <xdr:rowOff>97852</xdr:rowOff>
    </xdr:from>
    <xdr:to>
      <xdr:col>13</xdr:col>
      <xdr:colOff>71657</xdr:colOff>
      <xdr:row>46</xdr:row>
      <xdr:rowOff>62419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76056" y="771587"/>
          <a:ext cx="8198802" cy="111735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0156" style="1" customWidth="1"/>
    <col min="2" max="2" width="14.7656" style="1" customWidth="1"/>
    <col min="3" max="6" width="8.54688" style="1" customWidth="1"/>
    <col min="7" max="16384" width="16.3516" style="1" customWidth="1"/>
  </cols>
  <sheetData>
    <row r="1" ht="25.4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 '!H27:H30)</f>
        <v>0.399424059132586</v>
      </c>
      <c r="D4" s="9"/>
      <c r="E4" s="9"/>
      <c r="F4" s="10">
        <f>AVERAGE(C5:F5)</f>
        <v>0.11</v>
      </c>
    </row>
    <row r="5" ht="20.05" customHeight="1">
      <c r="B5" t="s" s="11">
        <v>4</v>
      </c>
      <c r="C5" s="12">
        <v>0.25</v>
      </c>
      <c r="D5" s="13">
        <v>-0.01</v>
      </c>
      <c r="E5" s="13">
        <v>0.15</v>
      </c>
      <c r="F5" s="13">
        <v>0.05</v>
      </c>
    </row>
    <row r="6" ht="20.05" customHeight="1">
      <c r="B6" t="s" s="11">
        <v>5</v>
      </c>
      <c r="C6" s="14">
        <f>'Sales '!C30*(1+C5)</f>
        <v>827.625</v>
      </c>
      <c r="D6" s="15">
        <f>C6*(1+D5)</f>
        <v>819.34875</v>
      </c>
      <c r="E6" s="15">
        <f>D6*(1+E5)</f>
        <v>942.2510625</v>
      </c>
      <c r="F6" s="15">
        <f>E6*(1+F5)</f>
        <v>989.363615625</v>
      </c>
    </row>
    <row r="7" ht="20.05" customHeight="1">
      <c r="B7" t="s" s="11">
        <v>6</v>
      </c>
      <c r="C7" s="16">
        <f>AVERAGE('Sales '!I30)</f>
        <v>-0.889291647787343</v>
      </c>
      <c r="D7" s="17">
        <f>C7</f>
        <v>-0.889291647787343</v>
      </c>
      <c r="E7" s="17">
        <f>D7</f>
        <v>-0.889291647787343</v>
      </c>
      <c r="F7" s="17">
        <f>E7</f>
        <v>-0.889291647787343</v>
      </c>
    </row>
    <row r="8" ht="20.05" customHeight="1">
      <c r="B8" t="s" s="11">
        <v>7</v>
      </c>
      <c r="C8" s="18">
        <f>C6*C7</f>
        <v>-736</v>
      </c>
      <c r="D8" s="19">
        <f>D6*D7</f>
        <v>-728.64</v>
      </c>
      <c r="E8" s="19">
        <f>E6*E7</f>
        <v>-837.936</v>
      </c>
      <c r="F8" s="19">
        <f>F6*F7</f>
        <v>-879.8328</v>
      </c>
    </row>
    <row r="9" ht="20.05" customHeight="1">
      <c r="B9" t="s" s="11">
        <v>8</v>
      </c>
      <c r="C9" s="18">
        <f>C6+C8</f>
        <v>91.625</v>
      </c>
      <c r="D9" s="19">
        <f>D6+D8</f>
        <v>90.70874999999999</v>
      </c>
      <c r="E9" s="19">
        <f>E6+E8</f>
        <v>104.3150625</v>
      </c>
      <c r="F9" s="19">
        <f>F6+F8</f>
        <v>109.530815625</v>
      </c>
    </row>
    <row r="10" ht="20.05" customHeight="1">
      <c r="B10" t="s" s="11">
        <v>9</v>
      </c>
      <c r="C10" s="18">
        <f>AVERAGE('Cashflow '!E23:E26)</f>
        <v>-42.475</v>
      </c>
      <c r="D10" s="19">
        <f>C10</f>
        <v>-42.475</v>
      </c>
      <c r="E10" s="19">
        <f>D10</f>
        <v>-42.475</v>
      </c>
      <c r="F10" s="19">
        <f>E10</f>
        <v>-42.475</v>
      </c>
    </row>
    <row r="11" ht="20.05" customHeight="1">
      <c r="B11" t="s" s="11">
        <v>10</v>
      </c>
      <c r="C11" s="18">
        <f>C12+C13+C15</f>
        <v>-49.15</v>
      </c>
      <c r="D11" s="19">
        <f>D12+D13+D15</f>
        <v>-48.23375</v>
      </c>
      <c r="E11" s="19">
        <f>E12+E13+E15</f>
        <v>-61.8400625</v>
      </c>
      <c r="F11" s="19">
        <f>F12+F13+F15</f>
        <v>-67.05581562499999</v>
      </c>
    </row>
    <row r="12" ht="20.05" customHeight="1">
      <c r="B12" t="s" s="11">
        <v>11</v>
      </c>
      <c r="C12" s="18">
        <f>-('Balance sheet'!G26)/20</f>
        <v>-622.95</v>
      </c>
      <c r="D12" s="19">
        <f>-C26/20</f>
        <v>-591.8025</v>
      </c>
      <c r="E12" s="19">
        <f>-D26/20</f>
        <v>-562.212375</v>
      </c>
      <c r="F12" s="19">
        <f>-E26/20</f>
        <v>-534.10175625</v>
      </c>
    </row>
    <row r="13" ht="20.05" customHeight="1">
      <c r="B13" t="s" s="11">
        <v>12</v>
      </c>
      <c r="C13" s="20">
        <f>IF(C21&gt;0,-C21*0,0)</f>
        <v>0</v>
      </c>
      <c r="D13" s="21">
        <f>IF(D21&gt;0,-D21*0,0)</f>
        <v>0</v>
      </c>
      <c r="E13" s="21">
        <f>IF(E21&gt;0,-E21*0,0)</f>
        <v>0</v>
      </c>
      <c r="F13" s="21">
        <f>IF(F21&gt;0,-F21*0,0)</f>
        <v>0</v>
      </c>
    </row>
    <row r="14" ht="20.05" customHeight="1">
      <c r="B14" t="s" s="11">
        <v>13</v>
      </c>
      <c r="C14" s="18">
        <f>C9+C10+C12+C13</f>
        <v>-573.8</v>
      </c>
      <c r="D14" s="19">
        <f>D9+D10+D12+D13</f>
        <v>-543.56875</v>
      </c>
      <c r="E14" s="19">
        <f>E9+E10+E12+E13</f>
        <v>-500.3723125</v>
      </c>
      <c r="F14" s="19">
        <f>F9+F10+F12+F13</f>
        <v>-467.045940625</v>
      </c>
    </row>
    <row r="15" ht="20.05" customHeight="1">
      <c r="B15" t="s" s="11">
        <v>14</v>
      </c>
      <c r="C15" s="18">
        <f>-MIN(0,C14)</f>
        <v>573.8</v>
      </c>
      <c r="D15" s="19">
        <f>-MIN(C27,D14)</f>
        <v>543.56875</v>
      </c>
      <c r="E15" s="19">
        <f>-MIN(D27,E14)</f>
        <v>500.3723125</v>
      </c>
      <c r="F15" s="19">
        <f>-MIN(E27,F14)</f>
        <v>467.045940625</v>
      </c>
    </row>
    <row r="16" ht="20.05" customHeight="1">
      <c r="B16" t="s" s="11">
        <v>15</v>
      </c>
      <c r="C16" s="18">
        <f>'Balance sheet'!C26</f>
        <v>837</v>
      </c>
      <c r="D16" s="19">
        <f>C18</f>
        <v>837</v>
      </c>
      <c r="E16" s="19">
        <f>D18</f>
        <v>837</v>
      </c>
      <c r="F16" s="19">
        <f>E18</f>
        <v>837</v>
      </c>
    </row>
    <row r="17" ht="20.05" customHeight="1">
      <c r="B17" t="s" s="11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0</v>
      </c>
    </row>
    <row r="18" ht="20.05" customHeight="1">
      <c r="B18" t="s" s="11">
        <v>17</v>
      </c>
      <c r="C18" s="18">
        <f>C16+C17</f>
        <v>837</v>
      </c>
      <c r="D18" s="19">
        <f>D16+D17</f>
        <v>837</v>
      </c>
      <c r="E18" s="19">
        <f>E16+E17</f>
        <v>837</v>
      </c>
      <c r="F18" s="19">
        <f>F16+F17</f>
        <v>837</v>
      </c>
    </row>
    <row r="19" ht="20.05" customHeight="1">
      <c r="B19" t="s" s="22">
        <v>18</v>
      </c>
      <c r="C19" s="20"/>
      <c r="D19" s="21"/>
      <c r="E19" s="21"/>
      <c r="F19" s="21"/>
    </row>
    <row r="20" ht="20.05" customHeight="1">
      <c r="B20" t="s" s="11">
        <v>19</v>
      </c>
      <c r="C20" s="18">
        <f>-AVERAGE('Sales '!E30)</f>
        <v>-26.1</v>
      </c>
      <c r="D20" s="19">
        <f>C20</f>
        <v>-26.1</v>
      </c>
      <c r="E20" s="19">
        <f>D20</f>
        <v>-26.1</v>
      </c>
      <c r="F20" s="19">
        <f>E20</f>
        <v>-26.1</v>
      </c>
    </row>
    <row r="21" ht="20.05" customHeight="1">
      <c r="B21" t="s" s="11">
        <v>20</v>
      </c>
      <c r="C21" s="18">
        <f>C6+C8+C20</f>
        <v>65.52500000000001</v>
      </c>
      <c r="D21" s="19">
        <f>D6+D8+D20</f>
        <v>64.60875</v>
      </c>
      <c r="E21" s="19">
        <f>E6+E8+E20</f>
        <v>78.2150625</v>
      </c>
      <c r="F21" s="19">
        <f>F6+F8+F20</f>
        <v>83.43081562499999</v>
      </c>
    </row>
    <row r="22" ht="20.05" customHeight="1">
      <c r="B22" t="s" s="11">
        <v>21</v>
      </c>
      <c r="C22" s="20"/>
      <c r="D22" s="21"/>
      <c r="E22" s="21"/>
      <c r="F22" s="19"/>
    </row>
    <row r="23" ht="20.05" customHeight="1">
      <c r="B23" t="s" s="11">
        <v>22</v>
      </c>
      <c r="C23" s="18">
        <f>'Balance sheet'!E26+'Balance sheet'!F26-C10</f>
        <v>21682.475</v>
      </c>
      <c r="D23" s="19">
        <f>C23-D10</f>
        <v>21724.95</v>
      </c>
      <c r="E23" s="19">
        <f>D23-E10</f>
        <v>21767.425</v>
      </c>
      <c r="F23" s="19">
        <f>E23-F10</f>
        <v>21809.9</v>
      </c>
    </row>
    <row r="24" ht="20.05" customHeight="1">
      <c r="B24" t="s" s="11">
        <v>23</v>
      </c>
      <c r="C24" s="18">
        <f>'Balance sheet'!F26-C20</f>
        <v>802.1</v>
      </c>
      <c r="D24" s="19">
        <f>C24-D20</f>
        <v>828.2</v>
      </c>
      <c r="E24" s="19">
        <f>D24-E20</f>
        <v>854.3</v>
      </c>
      <c r="F24" s="19">
        <f>E24-F20</f>
        <v>880.4</v>
      </c>
    </row>
    <row r="25" ht="20.05" customHeight="1">
      <c r="B25" t="s" s="11">
        <v>24</v>
      </c>
      <c r="C25" s="18">
        <f>C23-C24</f>
        <v>20880.375</v>
      </c>
      <c r="D25" s="19">
        <f>D23-D24</f>
        <v>20896.75</v>
      </c>
      <c r="E25" s="19">
        <f>E23-E24</f>
        <v>20913.125</v>
      </c>
      <c r="F25" s="19">
        <f>F23-F24</f>
        <v>20929.5</v>
      </c>
    </row>
    <row r="26" ht="20.05" customHeight="1">
      <c r="B26" t="s" s="11">
        <v>11</v>
      </c>
      <c r="C26" s="18">
        <f>'Balance sheet'!G26+C12</f>
        <v>11836.05</v>
      </c>
      <c r="D26" s="19">
        <f>C26+D12</f>
        <v>11244.2475</v>
      </c>
      <c r="E26" s="19">
        <f>D26+E12</f>
        <v>10682.035125</v>
      </c>
      <c r="F26" s="19">
        <f>E26+F12</f>
        <v>10147.93336875</v>
      </c>
    </row>
    <row r="27" ht="20.05" customHeight="1">
      <c r="B27" t="s" s="11">
        <v>14</v>
      </c>
      <c r="C27" s="18">
        <f>C15</f>
        <v>573.8</v>
      </c>
      <c r="D27" s="19">
        <f>C27+D15</f>
        <v>1117.36875</v>
      </c>
      <c r="E27" s="19">
        <f>D27+E15</f>
        <v>1617.7410625</v>
      </c>
      <c r="F27" s="19">
        <f>E27+F15</f>
        <v>2084.787003125</v>
      </c>
    </row>
    <row r="28" ht="20.05" customHeight="1">
      <c r="B28" t="s" s="11">
        <v>25</v>
      </c>
      <c r="C28" s="18">
        <f>'Balance sheet'!H26+C21+C13</f>
        <v>9307.525</v>
      </c>
      <c r="D28" s="19">
        <f>C28+D21+D13</f>
        <v>9372.133750000001</v>
      </c>
      <c r="E28" s="19">
        <f>D28+E21+E13</f>
        <v>9450.3488125</v>
      </c>
      <c r="F28" s="19">
        <f>E28+F21+F13</f>
        <v>9533.779628124999</v>
      </c>
    </row>
    <row r="29" ht="20.05" customHeight="1">
      <c r="B29" t="s" s="11">
        <v>26</v>
      </c>
      <c r="C29" s="18">
        <f>C26+C27+C28-C18-C25</f>
        <v>0</v>
      </c>
      <c r="D29" s="19">
        <f>D26+D27+D28-D18-D25</f>
        <v>0</v>
      </c>
      <c r="E29" s="19">
        <f>E26+E27+E28-E18-E25</f>
        <v>0</v>
      </c>
      <c r="F29" s="19">
        <f>F26+F27+F28-F18-F25</f>
        <v>0</v>
      </c>
    </row>
    <row r="30" ht="20.05" customHeight="1">
      <c r="B30" t="s" s="11">
        <v>27</v>
      </c>
      <c r="C30" s="18">
        <f>C18-C26-C27</f>
        <v>-11572.85</v>
      </c>
      <c r="D30" s="19">
        <f>D18-D26-D27</f>
        <v>-11524.61625</v>
      </c>
      <c r="E30" s="19">
        <f>E18-E26-E27</f>
        <v>-11462.7761875</v>
      </c>
      <c r="F30" s="19">
        <f>F18-F26-F27</f>
        <v>-11395.720371875</v>
      </c>
    </row>
    <row r="31" ht="20.05" customHeight="1">
      <c r="B31" t="s" s="11">
        <v>28</v>
      </c>
      <c r="C31" s="18"/>
      <c r="D31" s="19"/>
      <c r="E31" s="19"/>
      <c r="F31" s="19"/>
    </row>
    <row r="32" ht="20.05" customHeight="1">
      <c r="B32" t="s" s="11">
        <v>29</v>
      </c>
      <c r="C32" s="18">
        <f>'Cashflow '!L26-C11</f>
        <v>442.15</v>
      </c>
      <c r="D32" s="19">
        <f>C32-D11</f>
        <v>490.38375</v>
      </c>
      <c r="E32" s="19">
        <f>D32-E11</f>
        <v>552.2238125</v>
      </c>
      <c r="F32" s="19">
        <f>E32-F11</f>
        <v>619.279628125</v>
      </c>
    </row>
    <row r="33" ht="20.05" customHeight="1">
      <c r="B33" t="s" s="11">
        <v>30</v>
      </c>
      <c r="C33" s="18"/>
      <c r="D33" s="19"/>
      <c r="E33" s="19"/>
      <c r="F33" s="19">
        <v>3694</v>
      </c>
    </row>
    <row r="34" ht="20.05" customHeight="1">
      <c r="B34" t="s" s="11">
        <v>31</v>
      </c>
      <c r="C34" s="18"/>
      <c r="D34" s="19"/>
      <c r="E34" s="19"/>
      <c r="F34" s="23">
        <f>F33/(F18+F25)</f>
        <v>0.169710334688627</v>
      </c>
    </row>
    <row r="35" ht="20.05" customHeight="1">
      <c r="B35" t="s" s="11">
        <v>32</v>
      </c>
      <c r="C35" s="18"/>
      <c r="D35" s="19"/>
      <c r="E35" s="19"/>
      <c r="F35" s="17">
        <f>-(C13+D13+E13+F13)/F33</f>
        <v>0</v>
      </c>
    </row>
    <row r="36" ht="20.05" customHeight="1">
      <c r="B36" t="s" s="11">
        <v>3</v>
      </c>
      <c r="C36" s="18"/>
      <c r="D36" s="19"/>
      <c r="E36" s="19"/>
      <c r="F36" s="19">
        <f>SUM(C9:F10)</f>
        <v>226.279628125</v>
      </c>
    </row>
    <row r="37" ht="20.05" customHeight="1">
      <c r="B37" t="s" s="11">
        <v>33</v>
      </c>
      <c r="C37" s="18"/>
      <c r="D37" s="19"/>
      <c r="E37" s="19"/>
      <c r="F37" s="19">
        <f>'Balance sheet'!E26/F36</f>
        <v>92.2045001261644</v>
      </c>
    </row>
    <row r="38" ht="20.05" customHeight="1">
      <c r="B38" t="s" s="11">
        <v>28</v>
      </c>
      <c r="C38" s="18"/>
      <c r="D38" s="19"/>
      <c r="E38" s="19"/>
      <c r="F38" s="19">
        <f>F33/F36</f>
        <v>16.3249340234879</v>
      </c>
    </row>
    <row r="39" ht="20.05" customHeight="1">
      <c r="B39" t="s" s="11">
        <v>34</v>
      </c>
      <c r="C39" s="18"/>
      <c r="D39" s="19"/>
      <c r="E39" s="19"/>
      <c r="F39" s="19">
        <v>22</v>
      </c>
    </row>
    <row r="40" ht="20.05" customHeight="1">
      <c r="B40" t="s" s="11">
        <v>35</v>
      </c>
      <c r="C40" s="18"/>
      <c r="D40" s="19"/>
      <c r="E40" s="19"/>
      <c r="F40" s="19">
        <f>F36*F39</f>
        <v>4978.15181875</v>
      </c>
    </row>
    <row r="41" ht="20.05" customHeight="1">
      <c r="B41" t="s" s="11">
        <v>36</v>
      </c>
      <c r="C41" s="18"/>
      <c r="D41" s="19"/>
      <c r="E41" s="19"/>
      <c r="F41" s="19">
        <f>F33/F43</f>
        <v>19.6489361702128</v>
      </c>
    </row>
    <row r="42" ht="20.05" customHeight="1">
      <c r="B42" t="s" s="11">
        <v>37</v>
      </c>
      <c r="C42" s="18"/>
      <c r="D42" s="19"/>
      <c r="E42" s="19"/>
      <c r="F42" s="19">
        <f>F40/F41</f>
        <v>253.354775832431</v>
      </c>
    </row>
    <row r="43" ht="20.05" customHeight="1">
      <c r="B43" t="s" s="11">
        <v>38</v>
      </c>
      <c r="C43" s="18"/>
      <c r="D43" s="19"/>
      <c r="E43" s="19"/>
      <c r="F43" s="19">
        <f>'Share price'!C98</f>
        <v>188</v>
      </c>
    </row>
    <row r="44" ht="20.05" customHeight="1">
      <c r="B44" t="s" s="11">
        <v>39</v>
      </c>
      <c r="C44" s="18"/>
      <c r="D44" s="19"/>
      <c r="E44" s="19"/>
      <c r="F44" s="17">
        <f>F42/F43-1</f>
        <v>0.347631786342718</v>
      </c>
    </row>
    <row r="45" ht="20.05" customHeight="1">
      <c r="B45" t="s" s="11">
        <v>40</v>
      </c>
      <c r="C45" s="18"/>
      <c r="D45" s="19"/>
      <c r="E45" s="19"/>
      <c r="F45" s="17">
        <f>'Sales '!C30/'Sales '!C26-1</f>
        <v>2.59836956521739</v>
      </c>
    </row>
    <row r="46" ht="20.05" customHeight="1">
      <c r="B46" t="s" s="11">
        <v>41</v>
      </c>
      <c r="C46" s="18"/>
      <c r="D46" s="19"/>
      <c r="E46" s="19"/>
      <c r="F46" s="17">
        <f>('Sales '!D22+'Sales '!D30+'Sales '!D23+'Sales '!D24+'Sales '!D25+'Sales '!D26+'Sales '!D27+'Sales '!D28+'Sales '!D29)/('Sales '!C22+'Sales '!C23+'Sales '!C24+'Sales '!C25+'Sales '!C26+'Sales '!C27+'Sales '!C28+'Sales '!C30+'Sales '!C29)-1</f>
        <v>0.0740766119659709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3.1172" style="24" customWidth="1"/>
    <col min="2" max="2" width="9.88281" style="24" customWidth="1"/>
    <col min="3" max="11" width="11.5781" style="24" customWidth="1"/>
    <col min="12" max="16384" width="16.3516" style="24" customWidth="1"/>
  </cols>
  <sheetData>
    <row r="1" ht="64.4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</v>
      </c>
      <c r="D3" t="s" s="4">
        <v>34</v>
      </c>
      <c r="E3" t="s" s="4">
        <v>23</v>
      </c>
      <c r="F3" t="s" s="4">
        <v>42</v>
      </c>
      <c r="G3" t="s" s="4">
        <v>20</v>
      </c>
      <c r="H3" t="s" s="4">
        <v>43</v>
      </c>
      <c r="I3" t="s" s="4">
        <v>6</v>
      </c>
      <c r="J3" t="s" s="4">
        <v>44</v>
      </c>
      <c r="K3" t="s" s="4">
        <v>44</v>
      </c>
    </row>
    <row r="4" ht="20.25" customHeight="1">
      <c r="B4" s="25">
        <v>2015</v>
      </c>
      <c r="C4" s="26">
        <v>990.65</v>
      </c>
      <c r="D4" s="27"/>
      <c r="E4" s="27">
        <v>19</v>
      </c>
      <c r="F4" s="27"/>
      <c r="G4" s="27">
        <v>319</v>
      </c>
      <c r="H4" s="28"/>
      <c r="I4" s="28">
        <f>(G4+F4+E4-C4)/C4</f>
        <v>-0.658809872306062</v>
      </c>
      <c r="J4" s="28"/>
      <c r="K4" s="9"/>
    </row>
    <row r="5" ht="20.05" customHeight="1">
      <c r="B5" s="29"/>
      <c r="C5" s="18">
        <v>741.92</v>
      </c>
      <c r="D5" s="19"/>
      <c r="E5" s="19">
        <v>20</v>
      </c>
      <c r="F5" s="19"/>
      <c r="G5" s="19">
        <v>216.6</v>
      </c>
      <c r="H5" s="17">
        <f>C5/C4-1</f>
        <v>-0.251077575329329</v>
      </c>
      <c r="I5" s="17">
        <f>(G5+F5+E5-C5)/C5</f>
        <v>-0.681097692473582</v>
      </c>
      <c r="J5" s="17"/>
      <c r="K5" s="30"/>
    </row>
    <row r="6" ht="20.05" customHeight="1">
      <c r="B6" s="29"/>
      <c r="C6" s="18">
        <v>437.13</v>
      </c>
      <c r="D6" s="19"/>
      <c r="E6" s="19">
        <v>20</v>
      </c>
      <c r="F6" s="19"/>
      <c r="G6" s="19">
        <v>-379.8</v>
      </c>
      <c r="H6" s="17">
        <f>C6/C5-1</f>
        <v>-0.410812486521458</v>
      </c>
      <c r="I6" s="17">
        <f>(G6+F6+E6-C6)/C6</f>
        <v>-1.82309610413378</v>
      </c>
      <c r="J6" s="30"/>
      <c r="K6" s="30"/>
    </row>
    <row r="7" ht="20.05" customHeight="1">
      <c r="B7" s="29"/>
      <c r="C7" s="18">
        <v>614</v>
      </c>
      <c r="D7" s="19"/>
      <c r="E7" s="19">
        <v>19</v>
      </c>
      <c r="F7" s="19"/>
      <c r="G7" s="19">
        <v>528.48</v>
      </c>
      <c r="H7" s="17">
        <f>C7/C6-1</f>
        <v>0.404616475647977</v>
      </c>
      <c r="I7" s="17">
        <f>(G7+F7+E7-C7)/C7</f>
        <v>-0.108338762214984</v>
      </c>
      <c r="J7" s="30"/>
      <c r="K7" s="30"/>
    </row>
    <row r="8" ht="20.05" customHeight="1">
      <c r="B8" s="31">
        <v>2016</v>
      </c>
      <c r="C8" s="18">
        <v>842.86</v>
      </c>
      <c r="D8" s="19"/>
      <c r="E8" s="19">
        <v>20</v>
      </c>
      <c r="F8" s="19"/>
      <c r="G8" s="19">
        <v>528.8</v>
      </c>
      <c r="H8" s="17">
        <f>C8/C7-1</f>
        <v>0.372736156351792</v>
      </c>
      <c r="I8" s="17">
        <f>(G8+F8+E8-C8)/C8</f>
        <v>-0.348883563106566</v>
      </c>
      <c r="J8" s="30"/>
      <c r="K8" s="17">
        <f>('Cashflow '!D4+'Cashflow '!F4-'Cashflow '!C4)/'Cashflow '!C4</f>
        <v>-1.93046357615894</v>
      </c>
    </row>
    <row r="9" ht="20.05" customHeight="1">
      <c r="B9" s="29"/>
      <c r="C9" s="18">
        <v>442.43</v>
      </c>
      <c r="D9" s="19"/>
      <c r="E9" s="19">
        <v>20</v>
      </c>
      <c r="F9" s="19"/>
      <c r="G9" s="19">
        <v>30.7</v>
      </c>
      <c r="H9" s="17">
        <f>C9/C8-1</f>
        <v>-0.475084830220915</v>
      </c>
      <c r="I9" s="17">
        <f>(G9+F9+E9-C9)/C9</f>
        <v>-0.8854056008860161</v>
      </c>
      <c r="J9" s="30"/>
      <c r="K9" s="17">
        <f>('Cashflow '!D5+'Cashflow '!F5-'Cashflow '!C5)/'Cashflow '!C5</f>
        <v>-1.00549450549451</v>
      </c>
    </row>
    <row r="10" ht="20.05" customHeight="1">
      <c r="B10" s="29"/>
      <c r="C10" s="18">
        <v>619.71</v>
      </c>
      <c r="D10" s="19"/>
      <c r="E10" s="19">
        <v>21</v>
      </c>
      <c r="F10" s="19"/>
      <c r="G10" s="19">
        <v>101.2</v>
      </c>
      <c r="H10" s="17">
        <f>C10/C9-1</f>
        <v>0.400696155324006</v>
      </c>
      <c r="I10" s="17">
        <f>(G10+F10+E10-C10)/C10</f>
        <v>-0.802810992238305</v>
      </c>
      <c r="J10" s="30"/>
      <c r="K10" s="17">
        <f>('Cashflow '!D6+'Cashflow '!F6-'Cashflow '!C6)/'Cashflow '!C6</f>
        <v>-0.48155737704918</v>
      </c>
    </row>
    <row r="11" ht="20.05" customHeight="1">
      <c r="B11" s="29"/>
      <c r="C11" s="18">
        <v>810.6799999999999</v>
      </c>
      <c r="D11" s="19"/>
      <c r="E11" s="19">
        <v>20</v>
      </c>
      <c r="F11" s="19"/>
      <c r="G11" s="19">
        <v>-150.46</v>
      </c>
      <c r="H11" s="17">
        <f>C11/C10-1</f>
        <v>0.308160268512691</v>
      </c>
      <c r="I11" s="17">
        <f>(G11+F11+E11-C11)/C11</f>
        <v>-1.16092662949623</v>
      </c>
      <c r="J11" s="30"/>
      <c r="K11" s="17">
        <f>('Cashflow '!D7+'Cashflow '!F7-'Cashflow '!C7)/'Cashflow '!C7</f>
        <v>-0.628758169934641</v>
      </c>
    </row>
    <row r="12" ht="20.05" customHeight="1">
      <c r="B12" s="31">
        <v>2017</v>
      </c>
      <c r="C12" s="18">
        <v>701.88</v>
      </c>
      <c r="D12" s="19"/>
      <c r="E12" s="19">
        <v>20</v>
      </c>
      <c r="F12" s="19"/>
      <c r="G12" s="19">
        <v>178.29</v>
      </c>
      <c r="H12" s="17">
        <f>C12/C11-1</f>
        <v>-0.134208318942123</v>
      </c>
      <c r="I12" s="17">
        <f>(G12+F12+E12-C12)/C12</f>
        <v>-0.717487319769761</v>
      </c>
      <c r="J12" s="17">
        <f>AVERAGE(K9:K12)</f>
        <v>-0.721700604722636</v>
      </c>
      <c r="K12" s="17">
        <f>('Cashflow '!D8+'Cashflow '!F8-'Cashflow '!C8)/'Cashflow '!C8</f>
        <v>-0.770992366412214</v>
      </c>
    </row>
    <row r="13" ht="20.05" customHeight="1">
      <c r="B13" s="29"/>
      <c r="C13" s="18">
        <v>983.3200000000001</v>
      </c>
      <c r="D13" s="19"/>
      <c r="E13" s="19">
        <v>20</v>
      </c>
      <c r="F13" s="19"/>
      <c r="G13" s="19">
        <v>531.21</v>
      </c>
      <c r="H13" s="17">
        <f>C13/C12-1</f>
        <v>0.400980224539807</v>
      </c>
      <c r="I13" s="17">
        <f>(G13+F13+E13-C13)/C13</f>
        <v>-0.439439856811618</v>
      </c>
      <c r="J13" s="17">
        <f>AVERAGE(K10:K13)</f>
        <v>-0.624683038955069</v>
      </c>
      <c r="K13" s="17">
        <f>('Cashflow '!D9+'Cashflow '!F9-'Cashflow '!C9)/'Cashflow '!C9</f>
        <v>-0.617424242424242</v>
      </c>
    </row>
    <row r="14" ht="20.05" customHeight="1">
      <c r="B14" s="29"/>
      <c r="C14" s="18">
        <v>1484.6</v>
      </c>
      <c r="D14" s="19"/>
      <c r="E14" s="19">
        <v>22</v>
      </c>
      <c r="F14" s="19"/>
      <c r="G14" s="19">
        <v>411.2</v>
      </c>
      <c r="H14" s="17">
        <f>C14/C13-1</f>
        <v>0.509783183500793</v>
      </c>
      <c r="I14" s="17">
        <f>(G14+F14+E14-C14)/C14</f>
        <v>-0.708204230095649</v>
      </c>
      <c r="J14" s="17">
        <f>AVERAGE(K11:K14)</f>
        <v>-0.697310822492511</v>
      </c>
      <c r="K14" s="17">
        <f>('Cashflow '!D10+'Cashflow '!F10-'Cashflow '!C10)/'Cashflow '!C10</f>
        <v>-0.772068511198946</v>
      </c>
    </row>
    <row r="15" ht="20.05" customHeight="1">
      <c r="B15" s="29"/>
      <c r="C15" s="18">
        <v>747.2</v>
      </c>
      <c r="D15" s="19"/>
      <c r="E15" s="19">
        <v>24</v>
      </c>
      <c r="F15" s="19"/>
      <c r="G15" s="19">
        <v>264.3</v>
      </c>
      <c r="H15" s="17">
        <f>C15/C14-1</f>
        <v>-0.49669944766267</v>
      </c>
      <c r="I15" s="17">
        <f>(G15+F15+E15-C15)/C15</f>
        <v>-0.614159528907923</v>
      </c>
      <c r="J15" s="17">
        <f>AVERAGE(K12:K15)</f>
        <v>-0.651068025570981</v>
      </c>
      <c r="K15" s="17">
        <f>('Cashflow '!D11+'Cashflow '!F11-'Cashflow '!C11)/'Cashflow '!C11</f>
        <v>-0.443786982248521</v>
      </c>
    </row>
    <row r="16" ht="20.05" customHeight="1">
      <c r="B16" s="31">
        <v>2018</v>
      </c>
      <c r="C16" s="18">
        <v>1014.52</v>
      </c>
      <c r="D16" s="19"/>
      <c r="E16" s="19">
        <v>24</v>
      </c>
      <c r="F16" s="19"/>
      <c r="G16" s="19">
        <v>299.53</v>
      </c>
      <c r="H16" s="17">
        <f>C16/C15-1</f>
        <v>0.357762312633833</v>
      </c>
      <c r="I16" s="17">
        <f>(G16+F16+E16-C16)/C16</f>
        <v>-0.681100421874384</v>
      </c>
      <c r="J16" s="17">
        <f>AVERAGE(K13:K16)</f>
        <v>-0.601366643097439</v>
      </c>
      <c r="K16" s="17">
        <f>('Cashflow '!D12+'Cashflow '!F12-'Cashflow '!C12)/'Cashflow '!C12</f>
        <v>-0.572186836518047</v>
      </c>
    </row>
    <row r="17" ht="20.05" customHeight="1">
      <c r="B17" s="29"/>
      <c r="C17" s="18">
        <v>1182.08</v>
      </c>
      <c r="D17" s="19"/>
      <c r="E17" s="19">
        <v>20</v>
      </c>
      <c r="F17" s="19"/>
      <c r="G17" s="19">
        <v>218.17</v>
      </c>
      <c r="H17" s="17">
        <f>C17/C16-1</f>
        <v>0.165161849938887</v>
      </c>
      <c r="I17" s="17">
        <f>(G17+F17+E17-C17)/C17</f>
        <v>-0.7985161748781811</v>
      </c>
      <c r="J17" s="17">
        <f>AVERAGE(K14:K17)</f>
        <v>-0.599558353192016</v>
      </c>
      <c r="K17" s="17">
        <f>('Cashflow '!D13+'Cashflow '!F13-'Cashflow '!C13)/'Cashflow '!C13</f>
        <v>-0.610191082802548</v>
      </c>
    </row>
    <row r="18" ht="20.05" customHeight="1">
      <c r="B18" s="29"/>
      <c r="C18" s="18">
        <v>1006.4</v>
      </c>
      <c r="D18" s="19"/>
      <c r="E18" s="19">
        <v>21</v>
      </c>
      <c r="F18" s="19"/>
      <c r="G18" s="19">
        <v>121</v>
      </c>
      <c r="H18" s="17">
        <f>C18/C17-1</f>
        <v>-0.148619382782891</v>
      </c>
      <c r="I18" s="17">
        <f>(G18+F18+E18-C18)/C18</f>
        <v>-0.8589030206677269</v>
      </c>
      <c r="J18" s="17">
        <f>AVERAGE(K15:K18)</f>
        <v>-0.613858298563011</v>
      </c>
      <c r="K18" s="17">
        <f>('Cashflow '!D14+'Cashflow '!F14-'Cashflow '!C14)/'Cashflow '!C14</f>
        <v>-0.829268292682927</v>
      </c>
    </row>
    <row r="19" ht="20.05" customHeight="1">
      <c r="B19" s="29"/>
      <c r="C19" s="18">
        <v>772.2</v>
      </c>
      <c r="D19" s="19"/>
      <c r="E19" s="19">
        <v>22</v>
      </c>
      <c r="F19" s="19"/>
      <c r="G19" s="19">
        <v>331.8</v>
      </c>
      <c r="H19" s="17">
        <f>C19/C18-1</f>
        <v>-0.232710651828299</v>
      </c>
      <c r="I19" s="17">
        <f>(G19+F19+E19-C19)/C19</f>
        <v>-0.541828541828542</v>
      </c>
      <c r="J19" s="17">
        <f>AVERAGE(K16:K19)</f>
        <v>-0.775277358169866</v>
      </c>
      <c r="K19" s="17">
        <f>('Cashflow '!D15+'Cashflow '!F15-'Cashflow '!C15)/'Cashflow '!C15</f>
        <v>-1.08946322067594</v>
      </c>
    </row>
    <row r="20" ht="20.05" customHeight="1">
      <c r="B20" s="31">
        <v>2019</v>
      </c>
      <c r="C20" s="18">
        <v>685.1</v>
      </c>
      <c r="D20" s="19"/>
      <c r="E20" s="19">
        <v>24</v>
      </c>
      <c r="F20" s="19"/>
      <c r="G20" s="19">
        <v>158.1</v>
      </c>
      <c r="H20" s="17">
        <f>C20/C19-1</f>
        <v>-0.112794612794613</v>
      </c>
      <c r="I20" s="17">
        <f>(G20+F20+E20-C20)/C20</f>
        <v>-0.73419938695081</v>
      </c>
      <c r="J20" s="17">
        <f>AVERAGE(K17:K20)</f>
        <v>-0.859043465229224</v>
      </c>
      <c r="K20" s="17">
        <f>('Cashflow '!D16+'Cashflow '!F16-'Cashflow '!C16)/'Cashflow '!C16</f>
        <v>-0.907251264755481</v>
      </c>
    </row>
    <row r="21" ht="20.05" customHeight="1">
      <c r="B21" s="29"/>
      <c r="C21" s="18">
        <v>597.9</v>
      </c>
      <c r="D21" s="19"/>
      <c r="E21" s="19">
        <v>25</v>
      </c>
      <c r="F21" s="19"/>
      <c r="G21" s="19">
        <v>-7.7</v>
      </c>
      <c r="H21" s="17">
        <f>C21/C20-1</f>
        <v>-0.127280688950518</v>
      </c>
      <c r="I21" s="17">
        <f>(G21+F21+E21-C21)/C21</f>
        <v>-0.9710653955510959</v>
      </c>
      <c r="J21" s="17">
        <f>AVERAGE(K18:K21)</f>
        <v>-0.901888185996164</v>
      </c>
      <c r="K21" s="17">
        <f>('Cashflow '!D17+'Cashflow '!F17-'Cashflow '!C17)/'Cashflow '!C17</f>
        <v>-0.781569965870307</v>
      </c>
    </row>
    <row r="22" ht="20.05" customHeight="1">
      <c r="B22" s="29"/>
      <c r="C22" s="18">
        <v>677.4</v>
      </c>
      <c r="D22" s="19">
        <v>695</v>
      </c>
      <c r="E22" s="19">
        <v>27</v>
      </c>
      <c r="F22" s="19"/>
      <c r="G22" s="19">
        <v>48.1</v>
      </c>
      <c r="H22" s="17">
        <f>C22/C21-1</f>
        <v>0.132965378825891</v>
      </c>
      <c r="I22" s="17">
        <f>(G22+F22+E22-C22)/C22</f>
        <v>-0.8891349276646</v>
      </c>
      <c r="J22" s="17">
        <f>AVERAGE(K19:K22)</f>
        <v>-0.826744494998814</v>
      </c>
      <c r="K22" s="17">
        <f>('Cashflow '!D18+'Cashflow '!F18-'Cashflow '!C18)/'Cashflow '!C18</f>
        <v>-0.528693528693529</v>
      </c>
    </row>
    <row r="23" ht="20.05" customHeight="1">
      <c r="B23" s="29"/>
      <c r="C23" s="18">
        <v>1515.2</v>
      </c>
      <c r="D23" s="19">
        <v>754</v>
      </c>
      <c r="E23" s="19">
        <v>27</v>
      </c>
      <c r="F23" s="19"/>
      <c r="G23" s="19">
        <v>814.4</v>
      </c>
      <c r="H23" s="17">
        <f>C23/C22-1</f>
        <v>1.23678771774432</v>
      </c>
      <c r="I23" s="17">
        <f>(G23+F23+E23-C23)/C23</f>
        <v>-0.444693769799366</v>
      </c>
      <c r="J23" s="17">
        <f>AVERAGE(K20:K23)</f>
        <v>-0.719213854664994</v>
      </c>
      <c r="K23" s="17">
        <f>('Cashflow '!D19+'Cashflow '!F19-'Cashflow '!C19)/'Cashflow '!C19</f>
        <v>-0.659340659340659</v>
      </c>
    </row>
    <row r="24" ht="20.05" customHeight="1">
      <c r="B24" s="31">
        <v>2020</v>
      </c>
      <c r="C24" s="18">
        <v>300</v>
      </c>
      <c r="D24" s="19">
        <v>777</v>
      </c>
      <c r="E24" s="19">
        <v>26</v>
      </c>
      <c r="F24" s="19">
        <v>1172</v>
      </c>
      <c r="G24" s="19">
        <v>-1374</v>
      </c>
      <c r="H24" s="17">
        <f>C24/C23-1</f>
        <v>-0.802006335797254</v>
      </c>
      <c r="I24" s="17">
        <f>(G24+F24+E24-C24)/C24</f>
        <v>-1.58666666666667</v>
      </c>
      <c r="J24" s="17">
        <f>AVERAGE(K21:K24)</f>
        <v>-0.729876953697704</v>
      </c>
      <c r="K24" s="17">
        <f>('Cashflow '!D20+'Cashflow '!F20-'Cashflow '!C20)/'Cashflow '!C20</f>
        <v>-0.9499036608863199</v>
      </c>
    </row>
    <row r="25" ht="20.05" customHeight="1">
      <c r="B25" s="29"/>
      <c r="C25" s="18">
        <v>619</v>
      </c>
      <c r="D25" s="19">
        <v>881</v>
      </c>
      <c r="E25" s="19">
        <v>27</v>
      </c>
      <c r="F25" s="19">
        <v>-900</v>
      </c>
      <c r="G25" s="19">
        <v>857</v>
      </c>
      <c r="H25" s="17">
        <f>C25/C24-1</f>
        <v>1.06333333333333</v>
      </c>
      <c r="I25" s="17">
        <f>(G25+F25+E25-C25)/C25</f>
        <v>-1.02584814216478</v>
      </c>
      <c r="J25" s="17">
        <f>AVERAGE(K22:K25)</f>
        <v>-0.90134269977802</v>
      </c>
      <c r="K25" s="17">
        <f>('Cashflow '!D21+'Cashflow '!F21-'Cashflow '!C21)/'Cashflow '!C21</f>
        <v>-1.46743295019157</v>
      </c>
    </row>
    <row r="26" ht="20.05" customHeight="1">
      <c r="B26" s="29"/>
      <c r="C26" s="18">
        <f>1103-SUM(C24:C25)</f>
        <v>184</v>
      </c>
      <c r="D26" s="19">
        <v>677.4</v>
      </c>
      <c r="E26" s="19">
        <f>77-SUM(E24:E25)</f>
        <v>24</v>
      </c>
      <c r="F26" s="19">
        <f>519-SUM(F24:F25)</f>
        <v>247</v>
      </c>
      <c r="G26" s="19">
        <f>-984-SUM(G24:G25)</f>
        <v>-467</v>
      </c>
      <c r="H26" s="17">
        <f>C26/C25-1</f>
        <v>-0.702746365105008</v>
      </c>
      <c r="I26" s="17">
        <f>(G26+F26+E26-C26)/C26</f>
        <v>-2.06521739130435</v>
      </c>
      <c r="J26" s="17">
        <f>AVERAGE(K23:K26)</f>
        <v>-0.949089794741814</v>
      </c>
      <c r="K26" s="17">
        <f>('Cashflow '!D22+'Cashflow '!F22-'Cashflow '!C22)/'Cashflow '!C22</f>
        <v>-0.7196819085487079</v>
      </c>
    </row>
    <row r="27" ht="20.05" customHeight="1">
      <c r="B27" s="29"/>
      <c r="C27" s="18">
        <f>1413.25-SUM(C24:C26)</f>
        <v>310.25</v>
      </c>
      <c r="D27" s="19">
        <v>552</v>
      </c>
      <c r="E27" s="19">
        <v>28</v>
      </c>
      <c r="F27" s="19">
        <f>197.79-SUM(F24:F26)</f>
        <v>-321.21</v>
      </c>
      <c r="G27" s="19">
        <f>-1038.77-SUM(G24:G26)</f>
        <v>-54.77</v>
      </c>
      <c r="H27" s="17">
        <f>C27/C26-1</f>
        <v>0.6861413043478261</v>
      </c>
      <c r="I27" s="17">
        <f>(G27+F27+E27-C27)/C27</f>
        <v>-2.12161160354553</v>
      </c>
      <c r="J27" s="17">
        <f>AVERAGE(K24:K27)</f>
        <v>-1.19323034268384</v>
      </c>
      <c r="K27" s="17">
        <f>('Cashflow '!D23+'Cashflow '!F23-'Cashflow '!C23)/'Cashflow '!C23</f>
        <v>-1.63590285110876</v>
      </c>
    </row>
    <row r="28" ht="20.05" customHeight="1">
      <c r="B28" s="31">
        <v>2021</v>
      </c>
      <c r="C28" s="18">
        <v>467.6</v>
      </c>
      <c r="D28" s="19">
        <v>356.7875</v>
      </c>
      <c r="E28" s="32">
        <f>15.9+10.1</f>
        <v>26</v>
      </c>
      <c r="F28" s="21">
        <v>170.6</v>
      </c>
      <c r="G28" s="21">
        <v>-313.4</v>
      </c>
      <c r="H28" s="17">
        <f>C28/C27-1</f>
        <v>0.5071716357775991</v>
      </c>
      <c r="I28" s="17">
        <f>(G28+F28+E28-C28)/C28</f>
        <v>-1.24978614200171</v>
      </c>
      <c r="J28" s="17">
        <f>AVERAGE(K25:K28)</f>
        <v>-1.12767556694463</v>
      </c>
      <c r="K28" s="17">
        <f>('Cashflow '!D24+'Cashflow '!F24-'Cashflow '!C24)/'Cashflow '!C24</f>
        <v>-0.687684557929477</v>
      </c>
    </row>
    <row r="29" ht="20.05" customHeight="1">
      <c r="B29" s="29"/>
      <c r="C29" s="18">
        <f>1109.8-C28</f>
        <v>642.2</v>
      </c>
      <c r="D29" s="19">
        <v>453.572</v>
      </c>
      <c r="E29" s="21">
        <f>51.8-E28</f>
        <v>25.8</v>
      </c>
      <c r="F29" s="21">
        <f>131.6-F28</f>
        <v>-39</v>
      </c>
      <c r="G29" s="19">
        <f>-248.1-G28</f>
        <v>65.3</v>
      </c>
      <c r="H29" s="17">
        <f>C29/C28-1</f>
        <v>0.373396065012831</v>
      </c>
      <c r="I29" s="17">
        <f>(G29+F29+E29-C29)/C29</f>
        <v>-0.918872625350358</v>
      </c>
      <c r="J29" s="17">
        <f>AVERAGE(K26:K29)</f>
        <v>-0.988401876273617</v>
      </c>
      <c r="K29" s="17">
        <f>('Cashflow '!D25+'Cashflow '!F25-'Cashflow '!C25)/'Cashflow '!C25</f>
        <v>-0.910338187507522</v>
      </c>
    </row>
    <row r="30" ht="20.05" customHeight="1">
      <c r="B30" s="29"/>
      <c r="C30" s="18">
        <f>1771.9-SUM(C28:C29)</f>
        <v>662.1</v>
      </c>
      <c r="D30" s="19">
        <v>629.356</v>
      </c>
      <c r="E30" s="19">
        <f>77.9-SUM(E28:E29)</f>
        <v>26.1</v>
      </c>
      <c r="F30" s="19">
        <f>73.3-SUM(F28:F29)</f>
        <v>-58.3</v>
      </c>
      <c r="G30" s="19">
        <f>-142.6-SUM(G28:G29)</f>
        <v>105.5</v>
      </c>
      <c r="H30" s="17">
        <f>C30/C29-1</f>
        <v>0.0309872313920897</v>
      </c>
      <c r="I30" s="17">
        <f>(G30+F30+E30-C30)/C30</f>
        <v>-0.889291647787343</v>
      </c>
      <c r="J30" s="17">
        <f>AVERAGE(K27:K30)</f>
        <v>-0.930735141289989</v>
      </c>
      <c r="K30" s="17">
        <f>('Cashflow '!D26+'Cashflow '!F26-'Cashflow '!C26)/'Cashflow '!C26</f>
        <v>-0.489014968614196</v>
      </c>
    </row>
    <row r="31" ht="20.05" customHeight="1">
      <c r="B31" s="29"/>
      <c r="C31" s="18"/>
      <c r="D31" s="32">
        <f>'Model'!C6</f>
        <v>827.625</v>
      </c>
      <c r="E31" s="32"/>
      <c r="F31" s="32"/>
      <c r="G31" s="19"/>
      <c r="H31" s="17"/>
      <c r="I31" s="17">
        <f>'Model'!C7</f>
        <v>-0.889291647787343</v>
      </c>
      <c r="J31" s="17"/>
      <c r="K31" s="17"/>
    </row>
    <row r="32" ht="20.05" customHeight="1">
      <c r="B32" s="31">
        <v>2022</v>
      </c>
      <c r="C32" s="18"/>
      <c r="D32" s="19">
        <f>'Model'!D6</f>
        <v>819.34875</v>
      </c>
      <c r="E32" s="32"/>
      <c r="F32" s="32"/>
      <c r="G32" s="19"/>
      <c r="H32" s="17"/>
      <c r="I32" s="17"/>
      <c r="J32" s="17"/>
      <c r="K32" s="17"/>
    </row>
    <row r="33" ht="20.05" customHeight="1">
      <c r="B33" s="29"/>
      <c r="C33" s="18"/>
      <c r="D33" s="19">
        <f>'Model'!E6</f>
        <v>942.2510625</v>
      </c>
      <c r="E33" s="32"/>
      <c r="F33" s="32"/>
      <c r="G33" s="19"/>
      <c r="H33" s="30"/>
      <c r="I33" s="17"/>
      <c r="J33" s="17"/>
      <c r="K33" s="17"/>
    </row>
    <row r="34" ht="20.05" customHeight="1">
      <c r="B34" s="29"/>
      <c r="C34" s="18"/>
      <c r="D34" s="19">
        <f>'Model'!F6</f>
        <v>989.363615625</v>
      </c>
      <c r="E34" s="32"/>
      <c r="F34" s="32"/>
      <c r="G34" s="19"/>
      <c r="H34" s="30"/>
      <c r="I34" s="17"/>
      <c r="J34" s="17"/>
      <c r="K34" s="17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5234" style="33" customWidth="1"/>
    <col min="2" max="2" width="6.84375" style="33" customWidth="1"/>
    <col min="3" max="6" width="10.4453" style="33" customWidth="1"/>
    <col min="7" max="12" width="9.79688" style="33" customWidth="1"/>
    <col min="13" max="16384" width="16.3516" style="33" customWidth="1"/>
  </cols>
  <sheetData>
    <row r="1" ht="37.9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4">
        <v>1</v>
      </c>
      <c r="C3" t="s" s="4">
        <v>46</v>
      </c>
      <c r="D3" t="s" s="4">
        <v>8</v>
      </c>
      <c r="E3" t="s" s="4">
        <v>9</v>
      </c>
      <c r="F3" t="s" s="4">
        <v>47</v>
      </c>
      <c r="G3" t="s" s="4">
        <v>11</v>
      </c>
      <c r="H3" t="s" s="4">
        <v>25</v>
      </c>
      <c r="I3" t="s" s="4">
        <v>48</v>
      </c>
      <c r="J3" t="s" s="4">
        <v>49</v>
      </c>
      <c r="K3" t="s" s="4">
        <v>3</v>
      </c>
      <c r="L3" t="s" s="4">
        <v>29</v>
      </c>
    </row>
    <row r="4" ht="20.25" customHeight="1">
      <c r="B4" s="25">
        <v>2016</v>
      </c>
      <c r="C4" s="26">
        <v>604</v>
      </c>
      <c r="D4" s="27">
        <v>-266</v>
      </c>
      <c r="E4" s="27">
        <v>-14.83</v>
      </c>
      <c r="F4" s="27">
        <v>-296</v>
      </c>
      <c r="G4" s="27"/>
      <c r="H4" s="27"/>
      <c r="I4" s="27">
        <v>-100.73</v>
      </c>
      <c r="J4" s="27">
        <f>F4+D4+E4</f>
        <v>-576.83</v>
      </c>
      <c r="K4" s="27"/>
      <c r="L4" s="27">
        <f>-(I4-F4)</f>
        <v>-195.27</v>
      </c>
    </row>
    <row r="5" ht="20.05" customHeight="1">
      <c r="B5" s="29"/>
      <c r="C5" s="18">
        <v>546</v>
      </c>
      <c r="D5" s="19">
        <v>30</v>
      </c>
      <c r="E5" s="19">
        <v>65.22</v>
      </c>
      <c r="F5" s="19">
        <v>-33</v>
      </c>
      <c r="G5" s="19"/>
      <c r="H5" s="19"/>
      <c r="I5" s="19">
        <v>77.83</v>
      </c>
      <c r="J5" s="19">
        <f>F5+D5+E5</f>
        <v>62.22</v>
      </c>
      <c r="K5" s="19"/>
      <c r="L5" s="19">
        <f>-(I5-F5)+L4</f>
        <v>-306.1</v>
      </c>
    </row>
    <row r="6" ht="20.05" customHeight="1">
      <c r="B6" s="29"/>
      <c r="C6" s="18">
        <v>1952</v>
      </c>
      <c r="D6" s="19">
        <v>1300</v>
      </c>
      <c r="E6" s="19">
        <v>-207.77</v>
      </c>
      <c r="F6" s="19">
        <v>-288</v>
      </c>
      <c r="G6" s="19"/>
      <c r="H6" s="19"/>
      <c r="I6" s="19">
        <v>-240.5</v>
      </c>
      <c r="J6" s="19">
        <f>F6+D6+E6</f>
        <v>804.23</v>
      </c>
      <c r="K6" s="19"/>
      <c r="L6" s="19">
        <f>-(I6-F6)+L5</f>
        <v>-353.6</v>
      </c>
    </row>
    <row r="7" ht="20.05" customHeight="1">
      <c r="B7" s="29"/>
      <c r="C7" s="18">
        <v>765</v>
      </c>
      <c r="D7" s="19">
        <v>418</v>
      </c>
      <c r="E7" s="19">
        <v>-219.62</v>
      </c>
      <c r="F7" s="19">
        <v>-134</v>
      </c>
      <c r="G7" s="19"/>
      <c r="H7" s="19"/>
      <c r="I7" s="19">
        <v>-290.5</v>
      </c>
      <c r="J7" s="19">
        <f>F7+D7+E7</f>
        <v>64.38</v>
      </c>
      <c r="K7" s="19"/>
      <c r="L7" s="19">
        <f>-(I7-F7)+L6</f>
        <v>-197.1</v>
      </c>
    </row>
    <row r="8" ht="20.05" customHeight="1">
      <c r="B8" s="31">
        <v>2017</v>
      </c>
      <c r="C8" s="18">
        <v>786</v>
      </c>
      <c r="D8" s="19">
        <v>330</v>
      </c>
      <c r="E8" s="19">
        <v>-225.27</v>
      </c>
      <c r="F8" s="19">
        <v>-150</v>
      </c>
      <c r="G8" s="19"/>
      <c r="H8" s="19"/>
      <c r="I8" s="19">
        <v>-143.88</v>
      </c>
      <c r="J8" s="19">
        <f>F8+D8+E8</f>
        <v>-45.27</v>
      </c>
      <c r="K8" s="19">
        <f>AVERAGE(J5:J8)</f>
        <v>221.39</v>
      </c>
      <c r="L8" s="19">
        <f>-(I8-F8)+L7</f>
        <v>-203.22</v>
      </c>
    </row>
    <row r="9" ht="20.05" customHeight="1">
      <c r="B9" s="29"/>
      <c r="C9" s="18">
        <v>1056</v>
      </c>
      <c r="D9" s="19">
        <v>556</v>
      </c>
      <c r="E9" s="19">
        <v>-301.63</v>
      </c>
      <c r="F9" s="19">
        <v>-152</v>
      </c>
      <c r="G9" s="19"/>
      <c r="H9" s="19"/>
      <c r="I9" s="19">
        <v>-244.92</v>
      </c>
      <c r="J9" s="19">
        <f>F9+D9+E9</f>
        <v>102.37</v>
      </c>
      <c r="K9" s="19">
        <f>AVERAGE(J6:J9)</f>
        <v>231.4275</v>
      </c>
      <c r="L9" s="19">
        <f>-(I9-F9)+L8</f>
        <v>-110.3</v>
      </c>
    </row>
    <row r="10" ht="20.05" customHeight="1">
      <c r="B10" s="29"/>
      <c r="C10" s="18">
        <v>759</v>
      </c>
      <c r="D10" s="19">
        <v>321</v>
      </c>
      <c r="E10" s="19">
        <v>-354.8</v>
      </c>
      <c r="F10" s="19">
        <v>-148</v>
      </c>
      <c r="G10" s="19"/>
      <c r="H10" s="19"/>
      <c r="I10" s="19">
        <v>-284.9</v>
      </c>
      <c r="J10" s="19">
        <f>F10+D10+E10</f>
        <v>-181.8</v>
      </c>
      <c r="K10" s="19">
        <f>AVERAGE(J7:J10)</f>
        <v>-15.08</v>
      </c>
      <c r="L10" s="19">
        <f>-(I10-F10)+L9</f>
        <v>26.6</v>
      </c>
    </row>
    <row r="11" ht="20.05" customHeight="1">
      <c r="B11" s="29"/>
      <c r="C11" s="18">
        <v>845</v>
      </c>
      <c r="D11" s="19">
        <v>619</v>
      </c>
      <c r="E11" s="19">
        <v>-600.6</v>
      </c>
      <c r="F11" s="19">
        <v>-149</v>
      </c>
      <c r="G11" s="19"/>
      <c r="H11" s="19"/>
      <c r="I11" s="19">
        <v>-142.2</v>
      </c>
      <c r="J11" s="19">
        <f>F11+D11+E11</f>
        <v>-130.6</v>
      </c>
      <c r="K11" s="19">
        <f>AVERAGE(J8:J11)</f>
        <v>-63.825</v>
      </c>
      <c r="L11" s="19">
        <f>-(I11-F11)+L10</f>
        <v>19.8</v>
      </c>
    </row>
    <row r="12" ht="20.05" customHeight="1">
      <c r="B12" s="31">
        <v>2018</v>
      </c>
      <c r="C12" s="18">
        <v>942</v>
      </c>
      <c r="D12" s="32">
        <v>546</v>
      </c>
      <c r="E12" s="19">
        <v>-313.3</v>
      </c>
      <c r="F12" s="19">
        <v>-143</v>
      </c>
      <c r="G12" s="19"/>
      <c r="H12" s="19"/>
      <c r="I12" s="19">
        <v>-201.38</v>
      </c>
      <c r="J12" s="19">
        <f>F12+D12+E12</f>
        <v>89.7</v>
      </c>
      <c r="K12" s="19">
        <f>AVERAGE(J9:J12)</f>
        <v>-30.0825</v>
      </c>
      <c r="L12" s="19">
        <f>-(I12-F12)+L11</f>
        <v>78.18000000000001</v>
      </c>
    </row>
    <row r="13" ht="20.05" customHeight="1">
      <c r="B13" s="29"/>
      <c r="C13" s="18">
        <v>785</v>
      </c>
      <c r="D13" s="19">
        <v>448</v>
      </c>
      <c r="E13" s="19">
        <v>-225.7</v>
      </c>
      <c r="F13" s="19">
        <v>-142</v>
      </c>
      <c r="G13" s="19"/>
      <c r="H13" s="19"/>
      <c r="I13" s="19">
        <v>-301.01</v>
      </c>
      <c r="J13" s="19">
        <f>F13+D13+E13</f>
        <v>80.3</v>
      </c>
      <c r="K13" s="19">
        <f>AVERAGE(J10:J13)</f>
        <v>-35.6</v>
      </c>
      <c r="L13" s="19">
        <f>-(I13-F13)+L12</f>
        <v>237.19</v>
      </c>
    </row>
    <row r="14" ht="20.05" customHeight="1">
      <c r="B14" s="29"/>
      <c r="C14" s="18">
        <v>738</v>
      </c>
      <c r="D14" s="19">
        <v>274</v>
      </c>
      <c r="E14" s="19">
        <v>-203.9</v>
      </c>
      <c r="F14" s="19">
        <v>-148</v>
      </c>
      <c r="G14" s="19"/>
      <c r="H14" s="19"/>
      <c r="I14" s="19">
        <v>-198.51</v>
      </c>
      <c r="J14" s="19">
        <f>F14+D14+E14</f>
        <v>-77.90000000000001</v>
      </c>
      <c r="K14" s="19">
        <f>AVERAGE(J11:J14)</f>
        <v>-9.625</v>
      </c>
      <c r="L14" s="19">
        <f>-(I14-F14)+L13</f>
        <v>287.7</v>
      </c>
    </row>
    <row r="15" ht="20.05" customHeight="1">
      <c r="B15" s="29"/>
      <c r="C15" s="18">
        <v>503</v>
      </c>
      <c r="D15" s="19">
        <v>102</v>
      </c>
      <c r="E15" s="19">
        <v>46.2</v>
      </c>
      <c r="F15" s="32">
        <v>-147</v>
      </c>
      <c r="G15" s="19"/>
      <c r="H15" s="19"/>
      <c r="I15" s="19">
        <v>-237.8</v>
      </c>
      <c r="J15" s="19">
        <f>F15+D15+E15</f>
        <v>1.2</v>
      </c>
      <c r="K15" s="19">
        <f>AVERAGE(J12:J15)</f>
        <v>23.325</v>
      </c>
      <c r="L15" s="19">
        <f>-(I15-F15)+L14</f>
        <v>378.5</v>
      </c>
    </row>
    <row r="16" ht="20.05" customHeight="1">
      <c r="B16" s="31">
        <v>2019</v>
      </c>
      <c r="C16" s="18">
        <v>593</v>
      </c>
      <c r="D16" s="19">
        <v>176</v>
      </c>
      <c r="E16" s="19">
        <v>-52.7</v>
      </c>
      <c r="F16" s="19">
        <v>-121</v>
      </c>
      <c r="G16" s="19"/>
      <c r="H16" s="19"/>
      <c r="I16" s="19">
        <v>-110.24</v>
      </c>
      <c r="J16" s="19">
        <f>F16+D16+E16</f>
        <v>2.3</v>
      </c>
      <c r="K16" s="19">
        <f>AVERAGE(J13:J16)</f>
        <v>1.475</v>
      </c>
      <c r="L16" s="19">
        <f>-(I16-F16)+L15</f>
        <v>367.74</v>
      </c>
    </row>
    <row r="17" ht="20.05" customHeight="1">
      <c r="B17" s="29"/>
      <c r="C17" s="18">
        <v>879</v>
      </c>
      <c r="D17" s="19">
        <v>412</v>
      </c>
      <c r="E17" s="19">
        <v>-92.8</v>
      </c>
      <c r="F17" s="19">
        <v>-220</v>
      </c>
      <c r="G17" s="19"/>
      <c r="H17" s="19"/>
      <c r="I17" s="19">
        <v>332.09</v>
      </c>
      <c r="J17" s="19">
        <f>F17+D17+E17</f>
        <v>99.2</v>
      </c>
      <c r="K17" s="19">
        <f>AVERAGE(J14:J17)</f>
        <v>6.2</v>
      </c>
      <c r="L17" s="19">
        <f>-(I17-F17)+L16</f>
        <v>-184.35</v>
      </c>
    </row>
    <row r="18" ht="20.05" customHeight="1">
      <c r="B18" s="29"/>
      <c r="C18" s="18">
        <v>819</v>
      </c>
      <c r="D18" s="19">
        <v>402</v>
      </c>
      <c r="E18" s="19">
        <v>-272.1</v>
      </c>
      <c r="F18" s="19">
        <v>-16</v>
      </c>
      <c r="G18" s="19"/>
      <c r="H18" s="19"/>
      <c r="I18" s="19">
        <v>-152.35</v>
      </c>
      <c r="J18" s="19">
        <f>F18+D18+E18</f>
        <v>113.9</v>
      </c>
      <c r="K18" s="19">
        <f>AVERAGE(J15:J18)</f>
        <v>54.15</v>
      </c>
      <c r="L18" s="19">
        <f>-(I18-F18)+L17</f>
        <v>-48</v>
      </c>
    </row>
    <row r="19" ht="20.05" customHeight="1">
      <c r="B19" s="29"/>
      <c r="C19" s="18">
        <v>1092</v>
      </c>
      <c r="D19" s="19">
        <v>700</v>
      </c>
      <c r="E19" s="19">
        <v>-176.4</v>
      </c>
      <c r="F19" s="19">
        <v>-328</v>
      </c>
      <c r="G19" s="19"/>
      <c r="H19" s="19"/>
      <c r="I19" s="19">
        <v>-399.2</v>
      </c>
      <c r="J19" s="19">
        <f>F19+D19+E19</f>
        <v>195.6</v>
      </c>
      <c r="K19" s="19">
        <f>AVERAGE(J16:J19)</f>
        <v>102.75</v>
      </c>
      <c r="L19" s="19">
        <f>-(I19-F19)+L18</f>
        <v>23.2</v>
      </c>
    </row>
    <row r="20" ht="20.05" customHeight="1">
      <c r="B20" s="31">
        <v>2020</v>
      </c>
      <c r="C20" s="18">
        <v>519</v>
      </c>
      <c r="D20" s="19">
        <v>36</v>
      </c>
      <c r="E20" s="19">
        <v>-100</v>
      </c>
      <c r="F20" s="19">
        <v>-10</v>
      </c>
      <c r="G20" s="19"/>
      <c r="H20" s="19"/>
      <c r="I20" s="19">
        <v>913</v>
      </c>
      <c r="J20" s="19">
        <f>F20+D20+E20</f>
        <v>-74</v>
      </c>
      <c r="K20" s="19">
        <f>AVERAGE(J17:J20)</f>
        <v>83.675</v>
      </c>
      <c r="L20" s="19">
        <f>-(I20-F20)+L19</f>
        <v>-899.8</v>
      </c>
    </row>
    <row r="21" ht="20.05" customHeight="1">
      <c r="B21" s="29"/>
      <c r="C21" s="18">
        <v>522</v>
      </c>
      <c r="D21" s="19">
        <v>128</v>
      </c>
      <c r="E21" s="19">
        <v>-40</v>
      </c>
      <c r="F21" s="19">
        <v>-372</v>
      </c>
      <c r="G21" s="19"/>
      <c r="H21" s="19"/>
      <c r="I21" s="19">
        <v>-915</v>
      </c>
      <c r="J21" s="19">
        <f>F21+D21+E21</f>
        <v>-284</v>
      </c>
      <c r="K21" s="19">
        <f>AVERAGE(J18:J21)</f>
        <v>-12.125</v>
      </c>
      <c r="L21" s="19">
        <f>-(I21-F21)+L20</f>
        <v>-356.8</v>
      </c>
    </row>
    <row r="22" ht="20.05" customHeight="1">
      <c r="B22" s="29"/>
      <c r="C22" s="18">
        <v>503</v>
      </c>
      <c r="D22" s="19">
        <f>326-SUM(D20:D21)</f>
        <v>162</v>
      </c>
      <c r="E22" s="19">
        <f>-183-SUM(E20:E21)</f>
        <v>-43</v>
      </c>
      <c r="F22" s="19">
        <f>-403-SUM(F20:F21)</f>
        <v>-21</v>
      </c>
      <c r="G22" s="19"/>
      <c r="H22" s="19"/>
      <c r="I22" s="19">
        <f>-447-SUM(I20:I21)</f>
        <v>-445</v>
      </c>
      <c r="J22" s="19">
        <f>F22+D22+E22</f>
        <v>98</v>
      </c>
      <c r="K22" s="19">
        <f>AVERAGE(J19:J22)</f>
        <v>-16.1</v>
      </c>
      <c r="L22" s="19">
        <f>-(I22-F22)+L21</f>
        <v>67.2</v>
      </c>
    </row>
    <row r="23" ht="20.05" customHeight="1">
      <c r="B23" s="29"/>
      <c r="C23" s="18">
        <f>2017.5-SUM(C20:C22)</f>
        <v>473.5</v>
      </c>
      <c r="D23" s="19">
        <f>334.3-SUM(D20:D22)</f>
        <v>8.300000000000001</v>
      </c>
      <c r="E23" s="19">
        <f>-147.9-SUM(E20:E22)</f>
        <v>35.1</v>
      </c>
      <c r="F23" s="19">
        <f>-712.4-SUM(F20:F22)</f>
        <v>-309.4</v>
      </c>
      <c r="G23" s="19"/>
      <c r="H23" s="19"/>
      <c r="I23" s="19">
        <f>-815.8-SUM(I20:I22)</f>
        <v>-368.8</v>
      </c>
      <c r="J23" s="19">
        <f>F23+D23+E23</f>
        <v>-266</v>
      </c>
      <c r="K23" s="19">
        <f>AVERAGE(J20:J23)</f>
        <v>-131.5</v>
      </c>
      <c r="L23" s="19">
        <f>-(I23-F23)+L22</f>
        <v>126.6</v>
      </c>
    </row>
    <row r="24" ht="20.05" customHeight="1">
      <c r="B24" s="31">
        <v>2021</v>
      </c>
      <c r="C24" s="20">
        <v>575.7</v>
      </c>
      <c r="D24" s="21">
        <v>198.4</v>
      </c>
      <c r="E24" s="21">
        <v>3.6</v>
      </c>
      <c r="F24" s="21">
        <v>-18.6</v>
      </c>
      <c r="G24" s="21">
        <f>-65.176-F24</f>
        <v>-46.576</v>
      </c>
      <c r="H24" s="21"/>
      <c r="I24" s="21">
        <v>-65.17</v>
      </c>
      <c r="J24" s="19">
        <f>F24+D24+E24</f>
        <v>183.4</v>
      </c>
      <c r="K24" s="19">
        <f>AVERAGE(J21:J24)</f>
        <v>-67.15000000000001</v>
      </c>
      <c r="L24" s="19">
        <f>-(I24-F24)+L23</f>
        <v>173.17</v>
      </c>
    </row>
    <row r="25" ht="20.05" customHeight="1">
      <c r="B25" s="29"/>
      <c r="C25" s="20">
        <f>1406.6-C24</f>
        <v>830.9</v>
      </c>
      <c r="D25" s="21">
        <f>567.3-D24</f>
        <v>368.9</v>
      </c>
      <c r="E25" s="21">
        <f>-86.3-E24</f>
        <v>-89.90000000000001</v>
      </c>
      <c r="F25" s="21">
        <f>-313-F24</f>
        <v>-294.4</v>
      </c>
      <c r="G25" s="21">
        <f>-413.795-F25-F24-G24</f>
        <v>-54.219</v>
      </c>
      <c r="H25" s="21"/>
      <c r="I25" s="21">
        <f>-413.8-I24</f>
        <v>-348.63</v>
      </c>
      <c r="J25" s="19">
        <f>F25+D25+E25</f>
        <v>-15.4</v>
      </c>
      <c r="K25" s="19">
        <f>AVERAGE(J22:J25)</f>
        <v>0</v>
      </c>
      <c r="L25" s="19">
        <f>-(I25-F25)+L24</f>
        <v>227.4</v>
      </c>
    </row>
    <row r="26" ht="20.05" customHeight="1">
      <c r="B26" s="29"/>
      <c r="C26" s="20">
        <f>2235-SUM(C24:C25)</f>
        <v>828.4</v>
      </c>
      <c r="D26" s="21">
        <f>1021-SUM(D24:D25)</f>
        <v>453.7</v>
      </c>
      <c r="E26" s="21">
        <f>-205-SUM(E24:E25)</f>
        <v>-118.7</v>
      </c>
      <c r="F26" s="21">
        <f>-343.4-SUM(F24:F25)</f>
        <v>-30.4</v>
      </c>
      <c r="G26" s="21">
        <f>-609.799-F26-F25-F24-G25-G24</f>
        <v>-165.604</v>
      </c>
      <c r="H26" s="21"/>
      <c r="I26" s="21">
        <f>-609.8-SUM(I24:I25)</f>
        <v>-196</v>
      </c>
      <c r="J26" s="19">
        <f>F26+D26+E26</f>
        <v>304.6</v>
      </c>
      <c r="K26" s="19">
        <f>AVERAGE(J23:J26)</f>
        <v>51.65</v>
      </c>
      <c r="L26" s="19">
        <f>-(I26-F26)+L25</f>
        <v>393</v>
      </c>
    </row>
    <row r="27" ht="20.05" customHeight="1">
      <c r="B27" s="29"/>
      <c r="C27" s="20"/>
      <c r="D27" s="21"/>
      <c r="E27" s="21"/>
      <c r="F27" s="21"/>
      <c r="G27" s="21"/>
      <c r="H27" s="21"/>
      <c r="I27" s="21"/>
      <c r="J27" s="19"/>
      <c r="K27" s="19">
        <f>SUM('Model'!F9:F10)</f>
        <v>67.05581562499999</v>
      </c>
      <c r="L27" s="19">
        <f>'Model'!F32</f>
        <v>619.279628125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4" customWidth="1"/>
    <col min="2" max="2" width="7.96094" style="34" customWidth="1"/>
    <col min="3" max="11" width="9.78906" style="34" customWidth="1"/>
    <col min="12" max="16384" width="16.3516" style="34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50</v>
      </c>
      <c r="C3" t="s" s="4">
        <v>51</v>
      </c>
      <c r="D3" t="s" s="4">
        <v>52</v>
      </c>
      <c r="E3" t="s" s="4">
        <v>22</v>
      </c>
      <c r="F3" t="s" s="4">
        <v>23</v>
      </c>
      <c r="G3" t="s" s="4">
        <v>11</v>
      </c>
      <c r="H3" t="s" s="4">
        <v>25</v>
      </c>
      <c r="I3" t="s" s="4">
        <v>26</v>
      </c>
      <c r="J3" t="s" s="4">
        <v>53</v>
      </c>
      <c r="K3" t="s" s="4">
        <v>34</v>
      </c>
    </row>
    <row r="4" ht="20.25" customHeight="1">
      <c r="B4" s="25">
        <v>2016</v>
      </c>
      <c r="C4" s="26">
        <v>257</v>
      </c>
      <c r="D4" s="27">
        <v>18555</v>
      </c>
      <c r="E4" s="27">
        <f>D4-C4</f>
        <v>18298</v>
      </c>
      <c r="F4" s="27">
        <f>110+149</f>
        <v>259</v>
      </c>
      <c r="G4" s="27">
        <v>11437</v>
      </c>
      <c r="H4" s="27">
        <v>7118</v>
      </c>
      <c r="I4" s="27">
        <f>G4+H4-C4-E4</f>
        <v>0</v>
      </c>
      <c r="J4" s="27">
        <f>C4-G4</f>
        <v>-11180</v>
      </c>
      <c r="K4" s="27"/>
    </row>
    <row r="5" ht="20.05" customHeight="1">
      <c r="B5" s="29"/>
      <c r="C5" s="18">
        <v>430</v>
      </c>
      <c r="D5" s="19">
        <v>18840</v>
      </c>
      <c r="E5" s="19">
        <f>D5-C5</f>
        <v>18410</v>
      </c>
      <c r="F5" s="19">
        <f>119+160</f>
        <v>279</v>
      </c>
      <c r="G5" s="19">
        <v>11691</v>
      </c>
      <c r="H5" s="19">
        <v>7149</v>
      </c>
      <c r="I5" s="19">
        <f>G5+H5-C5-E5</f>
        <v>0</v>
      </c>
      <c r="J5" s="19">
        <f>C5-G5</f>
        <v>-11261</v>
      </c>
      <c r="K5" s="19"/>
    </row>
    <row r="6" ht="20.05" customHeight="1">
      <c r="B6" s="29"/>
      <c r="C6" s="18">
        <v>1282</v>
      </c>
      <c r="D6" s="19">
        <v>19974</v>
      </c>
      <c r="E6" s="19">
        <f>D6-C6</f>
        <v>18692</v>
      </c>
      <c r="F6" s="19">
        <f>128+172</f>
        <v>300</v>
      </c>
      <c r="G6" s="19">
        <v>12627</v>
      </c>
      <c r="H6" s="19">
        <v>7347</v>
      </c>
      <c r="I6" s="19">
        <f>G6+H6-C6-E6</f>
        <v>0</v>
      </c>
      <c r="J6" s="19">
        <f>C6-G6</f>
        <v>-11345</v>
      </c>
      <c r="K6" s="19"/>
    </row>
    <row r="7" ht="20.05" customHeight="1">
      <c r="B7" s="29"/>
      <c r="C7" s="18">
        <v>1189</v>
      </c>
      <c r="D7" s="19">
        <v>20186</v>
      </c>
      <c r="E7" s="19">
        <f>D7-C7</f>
        <v>18997</v>
      </c>
      <c r="F7" s="19">
        <f>137+183</f>
        <v>320</v>
      </c>
      <c r="G7" s="19">
        <v>12998</v>
      </c>
      <c r="H7" s="19">
        <v>7188</v>
      </c>
      <c r="I7" s="19">
        <f>G7+H7-C7-E7</f>
        <v>0</v>
      </c>
      <c r="J7" s="19">
        <f>C7-G7</f>
        <v>-11809</v>
      </c>
      <c r="K7" s="19"/>
    </row>
    <row r="8" ht="20.05" customHeight="1">
      <c r="B8" s="31">
        <v>2017</v>
      </c>
      <c r="C8" s="18">
        <v>1055</v>
      </c>
      <c r="D8" s="19">
        <v>20186</v>
      </c>
      <c r="E8" s="19">
        <f>D8-C8</f>
        <v>19131</v>
      </c>
      <c r="F8" s="19">
        <f>146+194</f>
        <v>340</v>
      </c>
      <c r="G8" s="19">
        <v>12819</v>
      </c>
      <c r="H8" s="19">
        <v>7367</v>
      </c>
      <c r="I8" s="19">
        <f>G8+H8-C8-E8</f>
        <v>0</v>
      </c>
      <c r="J8" s="19">
        <f>C8-G8</f>
        <v>-11764</v>
      </c>
      <c r="K8" s="19"/>
    </row>
    <row r="9" ht="20.05" customHeight="1">
      <c r="B9" s="29"/>
      <c r="C9" s="18">
        <v>1146</v>
      </c>
      <c r="D9" s="19">
        <v>20890</v>
      </c>
      <c r="E9" s="19">
        <f>D9-C9</f>
        <v>19744</v>
      </c>
      <c r="F9" s="19">
        <f>156+206</f>
        <v>362</v>
      </c>
      <c r="G9" s="19">
        <v>12974</v>
      </c>
      <c r="H9" s="19">
        <v>7916</v>
      </c>
      <c r="I9" s="19">
        <f>G9+H9-C9-E9</f>
        <v>0</v>
      </c>
      <c r="J9" s="19">
        <f>C9-G9</f>
        <v>-11828</v>
      </c>
      <c r="K9" s="19"/>
    </row>
    <row r="10" ht="20.05" customHeight="1">
      <c r="B10" s="29"/>
      <c r="C10" s="18">
        <v>828</v>
      </c>
      <c r="D10" s="19">
        <v>20391</v>
      </c>
      <c r="E10" s="19">
        <f>D10-C10</f>
        <v>19563</v>
      </c>
      <c r="F10" s="19">
        <f>166+216</f>
        <v>382</v>
      </c>
      <c r="G10" s="19">
        <v>12065</v>
      </c>
      <c r="H10" s="19">
        <v>8326</v>
      </c>
      <c r="I10" s="19">
        <f>G10+H10-C10-E10</f>
        <v>0</v>
      </c>
      <c r="J10" s="19">
        <f>C10-G10</f>
        <v>-11237</v>
      </c>
      <c r="K10" s="19"/>
    </row>
    <row r="11" ht="20.05" customHeight="1">
      <c r="B11" s="29"/>
      <c r="C11" s="18">
        <v>718</v>
      </c>
      <c r="D11" s="19">
        <v>20728</v>
      </c>
      <c r="E11" s="19">
        <f>D11-C11</f>
        <v>20010</v>
      </c>
      <c r="F11" s="19">
        <f>175+230</f>
        <v>405</v>
      </c>
      <c r="G11" s="19">
        <v>12155</v>
      </c>
      <c r="H11" s="19">
        <v>8573</v>
      </c>
      <c r="I11" s="19">
        <f>G11+H11-C11-E11</f>
        <v>0</v>
      </c>
      <c r="J11" s="19">
        <f>C11-G11</f>
        <v>-11437</v>
      </c>
      <c r="K11" s="19"/>
    </row>
    <row r="12" ht="20.05" customHeight="1">
      <c r="B12" s="31">
        <v>2018</v>
      </c>
      <c r="C12" s="18">
        <v>752</v>
      </c>
      <c r="D12" s="19">
        <v>20992</v>
      </c>
      <c r="E12" s="19">
        <f>D12-C12</f>
        <v>20240</v>
      </c>
      <c r="F12" s="19">
        <f>185+243</f>
        <v>428</v>
      </c>
      <c r="G12" s="19">
        <v>12120</v>
      </c>
      <c r="H12" s="19">
        <v>8872</v>
      </c>
      <c r="I12" s="19">
        <f>G12+H12-C12-E12</f>
        <v>0</v>
      </c>
      <c r="J12" s="19">
        <f>C12-G12</f>
        <v>-11368</v>
      </c>
      <c r="K12" s="19"/>
    </row>
    <row r="13" ht="20.05" customHeight="1">
      <c r="B13" s="29"/>
      <c r="C13" s="18">
        <v>676</v>
      </c>
      <c r="D13" s="19">
        <v>20986</v>
      </c>
      <c r="E13" s="19">
        <f>D13-C13</f>
        <v>20310</v>
      </c>
      <c r="F13" s="19">
        <f>194+255</f>
        <v>449</v>
      </c>
      <c r="G13" s="19">
        <v>11892</v>
      </c>
      <c r="H13" s="19">
        <v>9094</v>
      </c>
      <c r="I13" s="19">
        <f>G13+H13-C13-E13</f>
        <v>0</v>
      </c>
      <c r="J13" s="19">
        <f>C13-G13</f>
        <v>-11216</v>
      </c>
      <c r="K13" s="19"/>
    </row>
    <row r="14" ht="20.05" customHeight="1">
      <c r="B14" s="29"/>
      <c r="C14" s="18">
        <v>563</v>
      </c>
      <c r="D14" s="19">
        <v>21028</v>
      </c>
      <c r="E14" s="19">
        <f>D14-C14</f>
        <v>20465</v>
      </c>
      <c r="F14" s="19">
        <f>204+266</f>
        <v>470</v>
      </c>
      <c r="G14" s="19">
        <v>11811</v>
      </c>
      <c r="H14" s="19">
        <v>9217</v>
      </c>
      <c r="I14" s="19">
        <f>G14+H14-C14-E14</f>
        <v>0</v>
      </c>
      <c r="J14" s="19">
        <f>C14-G14</f>
        <v>-11248</v>
      </c>
      <c r="K14" s="19"/>
    </row>
    <row r="15" ht="20.05" customHeight="1">
      <c r="B15" s="29"/>
      <c r="C15" s="18">
        <v>459</v>
      </c>
      <c r="D15" s="19">
        <v>20891</v>
      </c>
      <c r="E15" s="19">
        <f>D15-C15</f>
        <v>20432</v>
      </c>
      <c r="F15" s="19">
        <f>214+277</f>
        <v>491</v>
      </c>
      <c r="G15" s="19">
        <v>11340</v>
      </c>
      <c r="H15" s="19">
        <v>9551</v>
      </c>
      <c r="I15" s="19">
        <f>G15+H15-C15-E15</f>
        <v>0</v>
      </c>
      <c r="J15" s="19">
        <f>C15-G15</f>
        <v>-10881</v>
      </c>
      <c r="K15" s="19"/>
    </row>
    <row r="16" ht="20.05" customHeight="1">
      <c r="B16" s="31">
        <v>2019</v>
      </c>
      <c r="C16" s="18">
        <v>469</v>
      </c>
      <c r="D16" s="19">
        <v>21105</v>
      </c>
      <c r="E16" s="19">
        <f>D16-C16</f>
        <v>20636</v>
      </c>
      <c r="F16" s="19">
        <f>224+292</f>
        <v>516</v>
      </c>
      <c r="G16" s="19">
        <v>11394</v>
      </c>
      <c r="H16" s="19">
        <v>9711</v>
      </c>
      <c r="I16" s="19">
        <f>G16+H16-C16-E16</f>
        <v>0</v>
      </c>
      <c r="J16" s="19">
        <f>C16-G16</f>
        <v>-10925</v>
      </c>
      <c r="K16" s="19"/>
    </row>
    <row r="17" ht="20.05" customHeight="1">
      <c r="B17" s="29"/>
      <c r="C17" s="18">
        <v>1108</v>
      </c>
      <c r="D17" s="19">
        <v>21596</v>
      </c>
      <c r="E17" s="19">
        <f>D17-C17</f>
        <v>20488</v>
      </c>
      <c r="F17" s="19">
        <f>234+306</f>
        <v>540</v>
      </c>
      <c r="G17" s="19">
        <v>11890</v>
      </c>
      <c r="H17" s="19">
        <v>9706</v>
      </c>
      <c r="I17" s="19">
        <f>G17+H17-C17-E17</f>
        <v>0</v>
      </c>
      <c r="J17" s="19">
        <f>C17-G17</f>
        <v>-10782</v>
      </c>
      <c r="K17" s="19"/>
    </row>
    <row r="18" ht="20.05" customHeight="1">
      <c r="B18" s="29"/>
      <c r="C18" s="18">
        <v>1086</v>
      </c>
      <c r="D18" s="19">
        <v>21806</v>
      </c>
      <c r="E18" s="19">
        <f>D18-C18</f>
        <v>20720</v>
      </c>
      <c r="F18" s="19">
        <f>244+324</f>
        <v>568</v>
      </c>
      <c r="G18" s="19">
        <v>12050</v>
      </c>
      <c r="H18" s="19">
        <v>9756</v>
      </c>
      <c r="I18" s="19">
        <f>G18+H18-C18-E18</f>
        <v>0</v>
      </c>
      <c r="J18" s="19">
        <f>C18-G18</f>
        <v>-10964</v>
      </c>
      <c r="K18" s="19"/>
    </row>
    <row r="19" ht="20.05" customHeight="1">
      <c r="B19" s="29"/>
      <c r="C19" s="18">
        <v>1209</v>
      </c>
      <c r="D19" s="19">
        <v>21894</v>
      </c>
      <c r="E19" s="19">
        <f>D19-C19</f>
        <v>20685</v>
      </c>
      <c r="F19" s="19">
        <f>340+254</f>
        <v>594</v>
      </c>
      <c r="G19" s="19">
        <v>11332</v>
      </c>
      <c r="H19" s="19">
        <v>10562</v>
      </c>
      <c r="I19" s="19">
        <f>G19+H19-C19-E19</f>
        <v>0</v>
      </c>
      <c r="J19" s="19">
        <f>C19-G19</f>
        <v>-10123</v>
      </c>
      <c r="K19" s="19"/>
    </row>
    <row r="20" ht="20.05" customHeight="1">
      <c r="B20" s="31">
        <v>2020</v>
      </c>
      <c r="C20" s="18">
        <v>2139</v>
      </c>
      <c r="D20" s="19">
        <v>22853</v>
      </c>
      <c r="E20" s="19">
        <f>D20-C20</f>
        <v>20714</v>
      </c>
      <c r="F20" s="19">
        <f>264+356</f>
        <v>620</v>
      </c>
      <c r="G20" s="19">
        <v>13665</v>
      </c>
      <c r="H20" s="19">
        <v>9188</v>
      </c>
      <c r="I20" s="19">
        <f>G20+H20-C20-E20</f>
        <v>0</v>
      </c>
      <c r="J20" s="19">
        <f>C20-G20</f>
        <v>-11526</v>
      </c>
      <c r="K20" s="19"/>
    </row>
    <row r="21" ht="20.05" customHeight="1">
      <c r="B21" s="29"/>
      <c r="C21" s="18">
        <v>888</v>
      </c>
      <c r="D21" s="19">
        <v>21431</v>
      </c>
      <c r="E21" s="19">
        <f>D21-C21</f>
        <v>20543</v>
      </c>
      <c r="F21" s="19">
        <f>274+373</f>
        <v>647</v>
      </c>
      <c r="G21" s="19">
        <v>11523</v>
      </c>
      <c r="H21" s="19">
        <v>9908</v>
      </c>
      <c r="I21" s="19">
        <f>G21+H21-C21-E21</f>
        <v>0</v>
      </c>
      <c r="J21" s="19">
        <f>C21-G21</f>
        <v>-10635</v>
      </c>
      <c r="K21" s="19"/>
    </row>
    <row r="22" ht="20.05" customHeight="1">
      <c r="B22" s="29"/>
      <c r="C22" s="18">
        <v>960</v>
      </c>
      <c r="D22" s="19">
        <v>21673</v>
      </c>
      <c r="E22" s="19">
        <f>D22-C22</f>
        <v>20713</v>
      </c>
      <c r="F22" s="19">
        <f>284+389</f>
        <v>673</v>
      </c>
      <c r="G22" s="19">
        <v>12233</v>
      </c>
      <c r="H22" s="19">
        <v>9440</v>
      </c>
      <c r="I22" s="19">
        <f>G22+H22-C22-E22</f>
        <v>0</v>
      </c>
      <c r="J22" s="19">
        <f>C22-G22</f>
        <v>-11273</v>
      </c>
      <c r="K22" s="19"/>
    </row>
    <row r="23" ht="20.05" customHeight="1">
      <c r="B23" s="29"/>
      <c r="C23" s="20">
        <v>625</v>
      </c>
      <c r="D23" s="19">
        <v>21227</v>
      </c>
      <c r="E23" s="19">
        <f>D23-C23</f>
        <v>20602</v>
      </c>
      <c r="F23" s="21">
        <f>294+405</f>
        <v>699</v>
      </c>
      <c r="G23" s="19">
        <v>11841</v>
      </c>
      <c r="H23" s="19">
        <v>9386</v>
      </c>
      <c r="I23" s="19">
        <f>G23+H23-C23-E23</f>
        <v>0</v>
      </c>
      <c r="J23" s="19">
        <f>C23-G23</f>
        <v>-11216</v>
      </c>
      <c r="K23" s="21"/>
    </row>
    <row r="24" ht="20.05" customHeight="1">
      <c r="B24" s="31">
        <v>2021</v>
      </c>
      <c r="C24" s="20">
        <v>770.188</v>
      </c>
      <c r="D24" s="19">
        <v>21451</v>
      </c>
      <c r="E24" s="19">
        <f>D24-C24</f>
        <v>20680.812</v>
      </c>
      <c r="F24" s="21">
        <f>421+304</f>
        <v>725</v>
      </c>
      <c r="G24" s="19">
        <v>12379</v>
      </c>
      <c r="H24" s="19">
        <v>9072</v>
      </c>
      <c r="I24" s="19">
        <f>G24+H24-C24-E24</f>
        <v>0</v>
      </c>
      <c r="J24" s="19">
        <f>C24-G24</f>
        <v>-11608.812</v>
      </c>
      <c r="K24" s="19"/>
    </row>
    <row r="25" ht="20.05" customHeight="1">
      <c r="B25" s="29"/>
      <c r="C25" s="20">
        <v>700</v>
      </c>
      <c r="D25" s="19">
        <v>21468</v>
      </c>
      <c r="E25" s="19">
        <f>D25-C25</f>
        <v>20768</v>
      </c>
      <c r="F25" s="21">
        <f>314+436</f>
        <v>750</v>
      </c>
      <c r="G25" s="19">
        <v>12331</v>
      </c>
      <c r="H25" s="19">
        <v>9137</v>
      </c>
      <c r="I25" s="19">
        <f>G25+H25-C25-E25</f>
        <v>0</v>
      </c>
      <c r="J25" s="19">
        <f>C25-G25</f>
        <v>-11631</v>
      </c>
      <c r="K25" s="21"/>
    </row>
    <row r="26" ht="20.05" customHeight="1">
      <c r="B26" s="29"/>
      <c r="C26" s="20">
        <v>837</v>
      </c>
      <c r="D26" s="19">
        <v>21701</v>
      </c>
      <c r="E26" s="19">
        <f>D26-C26</f>
        <v>20864</v>
      </c>
      <c r="F26" s="21">
        <f>325+451</f>
        <v>776</v>
      </c>
      <c r="G26" s="19">
        <v>12459</v>
      </c>
      <c r="H26" s="19">
        <v>9242</v>
      </c>
      <c r="I26" s="19">
        <f>G26+H26-C26-E26</f>
        <v>0</v>
      </c>
      <c r="J26" s="19">
        <f>C26-G26</f>
        <v>-11622</v>
      </c>
      <c r="K26" s="21">
        <f>J26</f>
        <v>-11622</v>
      </c>
    </row>
    <row r="27" ht="20.05" customHeight="1">
      <c r="B27" s="29"/>
      <c r="C27" s="20"/>
      <c r="D27" s="19"/>
      <c r="E27" s="19">
        <f>D27-C27</f>
        <v>0</v>
      </c>
      <c r="F27" s="21"/>
      <c r="G27" s="19"/>
      <c r="H27" s="19"/>
      <c r="I27" s="19"/>
      <c r="J27" s="19"/>
      <c r="K27" s="21">
        <f>'Model'!F30</f>
        <v>-11395.720371875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6406" style="35" customWidth="1"/>
    <col min="2" max="2" width="8.35156" style="35" customWidth="1"/>
    <col min="3" max="4" width="11.0547" style="35" customWidth="1"/>
    <col min="5" max="16384" width="16.3516" style="35" customWidth="1"/>
  </cols>
  <sheetData>
    <row r="1" ht="31.85" customHeight="1"/>
    <row r="2" ht="27.65" customHeight="1">
      <c r="B2" t="s" s="2">
        <v>54</v>
      </c>
      <c r="C2" s="2"/>
      <c r="D2" s="2"/>
    </row>
    <row r="3" ht="20.85" customHeight="1">
      <c r="B3" s="5"/>
      <c r="C3" t="s" s="36">
        <v>55</v>
      </c>
      <c r="D3" t="s" s="37">
        <v>56</v>
      </c>
    </row>
    <row r="4" ht="21.2" customHeight="1">
      <c r="B4" s="25">
        <v>2014</v>
      </c>
      <c r="C4" s="38">
        <v>510</v>
      </c>
      <c r="D4" s="39"/>
    </row>
    <row r="5" ht="20.7" customHeight="1">
      <c r="B5" s="29"/>
      <c r="C5" s="40">
        <v>575</v>
      </c>
      <c r="D5" s="41"/>
    </row>
    <row r="6" ht="20.7" customHeight="1">
      <c r="B6" s="29"/>
      <c r="C6" s="40">
        <v>595</v>
      </c>
      <c r="D6" s="41"/>
    </row>
    <row r="7" ht="20.7" customHeight="1">
      <c r="B7" s="29"/>
      <c r="C7" s="40">
        <v>530</v>
      </c>
      <c r="D7" s="41"/>
    </row>
    <row r="8" ht="20.7" customHeight="1">
      <c r="B8" s="29"/>
      <c r="C8" s="40">
        <v>500</v>
      </c>
      <c r="D8" s="41"/>
    </row>
    <row r="9" ht="20.7" customHeight="1">
      <c r="B9" s="29"/>
      <c r="C9" s="40">
        <v>442</v>
      </c>
      <c r="D9" s="41"/>
    </row>
    <row r="10" ht="20.7" customHeight="1">
      <c r="B10" s="29"/>
      <c r="C10" s="40">
        <v>525</v>
      </c>
      <c r="D10" s="41"/>
    </row>
    <row r="11" ht="20.7" customHeight="1">
      <c r="B11" s="29"/>
      <c r="C11" s="40">
        <v>510</v>
      </c>
      <c r="D11" s="41"/>
    </row>
    <row r="12" ht="20.7" customHeight="1">
      <c r="B12" s="29"/>
      <c r="C12" s="40">
        <v>455</v>
      </c>
      <c r="D12" s="41"/>
    </row>
    <row r="13" ht="20.7" customHeight="1">
      <c r="B13" s="29"/>
      <c r="C13" s="40">
        <v>464</v>
      </c>
      <c r="D13" s="41"/>
    </row>
    <row r="14" ht="20.7" customHeight="1">
      <c r="B14" s="29"/>
      <c r="C14" s="40">
        <v>560</v>
      </c>
      <c r="D14" s="41"/>
    </row>
    <row r="15" ht="20.7" customHeight="1">
      <c r="B15" s="29"/>
      <c r="C15" s="40">
        <v>560</v>
      </c>
      <c r="D15" s="41"/>
    </row>
    <row r="16" ht="20.7" customHeight="1">
      <c r="B16" s="31">
        <v>2015</v>
      </c>
      <c r="C16" s="40">
        <v>595</v>
      </c>
      <c r="D16" s="41"/>
    </row>
    <row r="17" ht="20.7" customHeight="1">
      <c r="B17" s="29"/>
      <c r="C17" s="40">
        <v>670</v>
      </c>
      <c r="D17" s="41"/>
    </row>
    <row r="18" ht="20.7" customHeight="1">
      <c r="B18" s="29"/>
      <c r="C18" s="40">
        <v>555</v>
      </c>
      <c r="D18" s="41"/>
    </row>
    <row r="19" ht="20.7" customHeight="1">
      <c r="B19" s="29"/>
      <c r="C19" s="40">
        <v>615</v>
      </c>
      <c r="D19" s="41"/>
    </row>
    <row r="20" ht="20.7" customHeight="1">
      <c r="B20" s="29"/>
      <c r="C20" s="40">
        <v>600</v>
      </c>
      <c r="D20" s="41"/>
    </row>
    <row r="21" ht="20.7" customHeight="1">
      <c r="B21" s="29"/>
      <c r="C21" s="40">
        <v>575</v>
      </c>
      <c r="D21" s="41"/>
    </row>
    <row r="22" ht="20.7" customHeight="1">
      <c r="B22" s="29"/>
      <c r="C22" s="40">
        <v>505</v>
      </c>
      <c r="D22" s="41"/>
    </row>
    <row r="23" ht="20.7" customHeight="1">
      <c r="B23" s="29"/>
      <c r="C23" s="40">
        <v>354</v>
      </c>
      <c r="D23" s="41"/>
    </row>
    <row r="24" ht="20.7" customHeight="1">
      <c r="B24" s="29"/>
      <c r="C24" s="40">
        <v>316</v>
      </c>
      <c r="D24" s="41"/>
    </row>
    <row r="25" ht="20.7" customHeight="1">
      <c r="B25" s="29"/>
      <c r="C25" s="40">
        <v>389</v>
      </c>
      <c r="D25" s="41"/>
    </row>
    <row r="26" ht="20.7" customHeight="1">
      <c r="B26" s="29"/>
      <c r="C26" s="40">
        <v>339</v>
      </c>
      <c r="D26" s="41"/>
    </row>
    <row r="27" ht="20.7" customHeight="1">
      <c r="B27" s="29"/>
      <c r="C27" s="40">
        <v>343</v>
      </c>
      <c r="D27" s="41"/>
    </row>
    <row r="28" ht="20.7" customHeight="1">
      <c r="B28" s="31">
        <v>2016</v>
      </c>
      <c r="C28" s="40">
        <v>321</v>
      </c>
      <c r="D28" s="41"/>
    </row>
    <row r="29" ht="20.7" customHeight="1">
      <c r="B29" s="29"/>
      <c r="C29" s="40">
        <v>344</v>
      </c>
      <c r="D29" s="41"/>
    </row>
    <row r="30" ht="20.7" customHeight="1">
      <c r="B30" s="29"/>
      <c r="C30" s="40">
        <v>372</v>
      </c>
      <c r="D30" s="41"/>
    </row>
    <row r="31" ht="20.7" customHeight="1">
      <c r="B31" s="29"/>
      <c r="C31" s="40">
        <v>396</v>
      </c>
      <c r="D31" s="41"/>
    </row>
    <row r="32" ht="20.7" customHeight="1">
      <c r="B32" s="29"/>
      <c r="C32" s="40">
        <v>386</v>
      </c>
      <c r="D32" s="41"/>
    </row>
    <row r="33" ht="20.7" customHeight="1">
      <c r="B33" s="29"/>
      <c r="C33" s="40">
        <v>480</v>
      </c>
      <c r="D33" s="41"/>
    </row>
    <row r="34" ht="20.7" customHeight="1">
      <c r="B34" s="29"/>
      <c r="C34" s="40">
        <v>525</v>
      </c>
      <c r="D34" s="41"/>
    </row>
    <row r="35" ht="20.7" customHeight="1">
      <c r="B35" s="29"/>
      <c r="C35" s="40">
        <v>492</v>
      </c>
      <c r="D35" s="41"/>
    </row>
    <row r="36" ht="20.7" customHeight="1">
      <c r="B36" s="29"/>
      <c r="C36" s="40">
        <v>462</v>
      </c>
      <c r="D36" s="41"/>
    </row>
    <row r="37" ht="20.7" customHeight="1">
      <c r="B37" s="29"/>
      <c r="C37" s="40">
        <v>448</v>
      </c>
      <c r="D37" s="41"/>
    </row>
    <row r="38" ht="20.7" customHeight="1">
      <c r="B38" s="29"/>
      <c r="C38" s="40">
        <v>380</v>
      </c>
      <c r="D38" s="41"/>
    </row>
    <row r="39" ht="20.7" customHeight="1">
      <c r="B39" s="29"/>
      <c r="C39" s="40">
        <v>352</v>
      </c>
      <c r="D39" s="41"/>
    </row>
    <row r="40" ht="20.7" customHeight="1">
      <c r="B40" s="31">
        <v>2017</v>
      </c>
      <c r="C40" s="40">
        <v>382</v>
      </c>
      <c r="D40" s="41"/>
    </row>
    <row r="41" ht="20.7" customHeight="1">
      <c r="B41" s="29"/>
      <c r="C41" s="40">
        <v>372</v>
      </c>
      <c r="D41" s="41"/>
    </row>
    <row r="42" ht="20.7" customHeight="1">
      <c r="B42" s="29"/>
      <c r="C42" s="40">
        <v>362</v>
      </c>
      <c r="D42" s="41"/>
    </row>
    <row r="43" ht="20.7" customHeight="1">
      <c r="B43" s="29"/>
      <c r="C43" s="40">
        <v>348</v>
      </c>
      <c r="D43" s="41"/>
    </row>
    <row r="44" ht="20.7" customHeight="1">
      <c r="B44" s="29"/>
      <c r="C44" s="40">
        <v>334</v>
      </c>
      <c r="D44" s="41"/>
    </row>
    <row r="45" ht="20.7" customHeight="1">
      <c r="B45" s="29"/>
      <c r="C45" s="40">
        <v>318</v>
      </c>
      <c r="D45" s="41"/>
    </row>
    <row r="46" ht="20.7" customHeight="1">
      <c r="B46" s="29"/>
      <c r="C46" s="40">
        <v>322</v>
      </c>
      <c r="D46" s="41"/>
    </row>
    <row r="47" ht="20.7" customHeight="1">
      <c r="B47" s="29"/>
      <c r="C47" s="40">
        <v>358</v>
      </c>
      <c r="D47" s="41"/>
    </row>
    <row r="48" ht="20.7" customHeight="1">
      <c r="B48" s="29"/>
      <c r="C48" s="40">
        <v>378</v>
      </c>
      <c r="D48" s="41"/>
    </row>
    <row r="49" ht="20.7" customHeight="1">
      <c r="B49" s="29"/>
      <c r="C49" s="40">
        <v>406</v>
      </c>
      <c r="D49" s="41"/>
    </row>
    <row r="50" ht="20.7" customHeight="1">
      <c r="B50" s="29"/>
      <c r="C50" s="40">
        <v>370</v>
      </c>
      <c r="D50" s="41"/>
    </row>
    <row r="51" ht="20.7" customHeight="1">
      <c r="B51" s="29"/>
      <c r="C51" s="40">
        <v>356</v>
      </c>
      <c r="D51" s="41"/>
    </row>
    <row r="52" ht="20.7" customHeight="1">
      <c r="B52" s="31">
        <v>2018</v>
      </c>
      <c r="C52" s="40">
        <v>394</v>
      </c>
      <c r="D52" s="41"/>
    </row>
    <row r="53" ht="20.7" customHeight="1">
      <c r="B53" s="29"/>
      <c r="C53" s="40">
        <v>392</v>
      </c>
      <c r="D53" s="41"/>
    </row>
    <row r="54" ht="20.7" customHeight="1">
      <c r="B54" s="29"/>
      <c r="C54" s="40">
        <v>378</v>
      </c>
      <c r="D54" s="41"/>
    </row>
    <row r="55" ht="20.7" customHeight="1">
      <c r="B55" s="29"/>
      <c r="C55" s="40">
        <v>364</v>
      </c>
      <c r="D55" s="41"/>
    </row>
    <row r="56" ht="20.7" customHeight="1">
      <c r="B56" s="29"/>
      <c r="C56" s="40">
        <v>354</v>
      </c>
      <c r="D56" s="41"/>
    </row>
    <row r="57" ht="20.7" customHeight="1">
      <c r="B57" s="29"/>
      <c r="C57" s="40">
        <v>328</v>
      </c>
      <c r="D57" s="41"/>
    </row>
    <row r="58" ht="20.7" customHeight="1">
      <c r="B58" s="29"/>
      <c r="C58" s="40">
        <v>320</v>
      </c>
      <c r="D58" s="41"/>
    </row>
    <row r="59" ht="20.7" customHeight="1">
      <c r="B59" s="29"/>
      <c r="C59" s="40">
        <v>326</v>
      </c>
      <c r="D59" s="41"/>
    </row>
    <row r="60" ht="20.7" customHeight="1">
      <c r="B60" s="29"/>
      <c r="C60" s="40">
        <v>286</v>
      </c>
      <c r="D60" s="41"/>
    </row>
    <row r="61" ht="20.7" customHeight="1">
      <c r="B61" s="29"/>
      <c r="C61" s="40">
        <v>278</v>
      </c>
      <c r="D61" s="41"/>
    </row>
    <row r="62" ht="20.7" customHeight="1">
      <c r="B62" s="29"/>
      <c r="C62" s="40">
        <v>348</v>
      </c>
      <c r="D62" s="41"/>
    </row>
    <row r="63" ht="20.7" customHeight="1">
      <c r="B63" s="29"/>
      <c r="C63" s="40">
        <v>312</v>
      </c>
      <c r="D63" s="41"/>
    </row>
    <row r="64" ht="20.7" customHeight="1">
      <c r="B64" s="31">
        <v>2019</v>
      </c>
      <c r="C64" s="40">
        <v>356</v>
      </c>
      <c r="D64" s="41"/>
    </row>
    <row r="65" ht="20.7" customHeight="1">
      <c r="B65" s="29"/>
      <c r="C65" s="40">
        <v>324</v>
      </c>
      <c r="D65" s="41"/>
    </row>
    <row r="66" ht="20.7" customHeight="1">
      <c r="B66" s="29"/>
      <c r="C66" s="40">
        <v>310</v>
      </c>
      <c r="D66" s="41"/>
    </row>
    <row r="67" ht="20.7" customHeight="1">
      <c r="B67" s="29"/>
      <c r="C67" s="40">
        <v>336</v>
      </c>
      <c r="D67" s="41"/>
    </row>
    <row r="68" ht="20.7" customHeight="1">
      <c r="B68" s="29"/>
      <c r="C68" s="40">
        <v>324</v>
      </c>
      <c r="D68" s="41"/>
    </row>
    <row r="69" ht="20.7" customHeight="1">
      <c r="B69" s="29"/>
      <c r="C69" s="40">
        <v>340</v>
      </c>
      <c r="D69" s="41"/>
    </row>
    <row r="70" ht="20.7" customHeight="1">
      <c r="B70" s="29"/>
      <c r="C70" s="40">
        <v>332</v>
      </c>
      <c r="D70" s="41"/>
    </row>
    <row r="71" ht="20.7" customHeight="1">
      <c r="B71" s="29"/>
      <c r="C71" s="40">
        <v>312</v>
      </c>
      <c r="D71" s="41"/>
    </row>
    <row r="72" ht="20.7" customHeight="1">
      <c r="B72" s="29"/>
      <c r="C72" s="40">
        <v>290</v>
      </c>
      <c r="D72" s="41"/>
    </row>
    <row r="73" ht="20.7" customHeight="1">
      <c r="B73" s="29"/>
      <c r="C73" s="40">
        <v>274</v>
      </c>
      <c r="D73" s="41"/>
    </row>
    <row r="74" ht="20.7" customHeight="1">
      <c r="B74" s="29"/>
      <c r="C74" s="40">
        <v>240</v>
      </c>
      <c r="D74" s="42"/>
    </row>
    <row r="75" ht="20.7" customHeight="1">
      <c r="B75" s="29"/>
      <c r="C75" s="40">
        <v>238</v>
      </c>
      <c r="D75" s="19"/>
    </row>
    <row r="76" ht="20.35" customHeight="1">
      <c r="B76" s="31">
        <v>2020</v>
      </c>
      <c r="C76" s="43">
        <v>198</v>
      </c>
      <c r="D76" s="19"/>
    </row>
    <row r="77" ht="20.05" customHeight="1">
      <c r="B77" s="29"/>
      <c r="C77" s="44">
        <v>152</v>
      </c>
      <c r="D77" s="19"/>
    </row>
    <row r="78" ht="20.05" customHeight="1">
      <c r="B78" s="29"/>
      <c r="C78" s="44">
        <v>104</v>
      </c>
      <c r="D78" s="19"/>
    </row>
    <row r="79" ht="20.05" customHeight="1">
      <c r="B79" s="29"/>
      <c r="C79" s="44">
        <v>118</v>
      </c>
      <c r="D79" s="19"/>
    </row>
    <row r="80" ht="20.05" customHeight="1">
      <c r="B80" s="29"/>
      <c r="C80" s="44">
        <v>106</v>
      </c>
      <c r="D80" s="19"/>
    </row>
    <row r="81" ht="20.05" customHeight="1">
      <c r="B81" s="29"/>
      <c r="C81" s="44">
        <v>129</v>
      </c>
      <c r="D81" s="45"/>
    </row>
    <row r="82" ht="20.05" customHeight="1">
      <c r="B82" s="29"/>
      <c r="C82" s="44">
        <v>123</v>
      </c>
      <c r="D82" s="45"/>
    </row>
    <row r="83" ht="20.05" customHeight="1">
      <c r="B83" s="29"/>
      <c r="C83" s="44">
        <v>125</v>
      </c>
      <c r="D83" s="19"/>
    </row>
    <row r="84" ht="20.05" customHeight="1">
      <c r="B84" s="29"/>
      <c r="C84" s="44">
        <v>111</v>
      </c>
      <c r="D84" s="19"/>
    </row>
    <row r="85" ht="20.05" customHeight="1">
      <c r="B85" s="29"/>
      <c r="C85" s="44">
        <v>155</v>
      </c>
      <c r="D85" s="19"/>
    </row>
    <row r="86" ht="20.05" customHeight="1">
      <c r="B86" s="29"/>
      <c r="C86" s="44">
        <v>236</v>
      </c>
      <c r="D86" s="45"/>
    </row>
    <row r="87" ht="20.05" customHeight="1">
      <c r="B87" s="29"/>
      <c r="C87" s="44">
        <v>242</v>
      </c>
      <c r="D87" s="45"/>
    </row>
    <row r="88" ht="20.05" customHeight="1">
      <c r="B88" s="31">
        <v>2021</v>
      </c>
      <c r="C88" s="44">
        <v>192</v>
      </c>
      <c r="D88" s="45"/>
    </row>
    <row r="89" ht="20.05" customHeight="1">
      <c r="B89" s="29"/>
      <c r="C89" s="44">
        <v>236</v>
      </c>
      <c r="D89" s="45"/>
    </row>
    <row r="90" ht="20.05" customHeight="1">
      <c r="B90" s="29"/>
      <c r="C90" s="18">
        <v>212</v>
      </c>
      <c r="D90" s="45"/>
    </row>
    <row r="91" ht="20.05" customHeight="1">
      <c r="B91" s="29"/>
      <c r="C91" s="18">
        <v>198</v>
      </c>
      <c r="D91" s="45"/>
    </row>
    <row r="92" ht="20.05" customHeight="1">
      <c r="B92" s="29"/>
      <c r="C92" s="18">
        <v>181</v>
      </c>
      <c r="D92" s="45"/>
    </row>
    <row r="93" ht="20.05" customHeight="1">
      <c r="B93" s="29"/>
      <c r="C93" s="18">
        <v>160</v>
      </c>
      <c r="D93" s="45"/>
    </row>
    <row r="94" ht="20.05" customHeight="1">
      <c r="B94" s="29"/>
      <c r="C94" s="18">
        <v>156</v>
      </c>
      <c r="D94" s="45"/>
    </row>
    <row r="95" ht="20.05" customHeight="1">
      <c r="B95" s="29"/>
      <c r="C95" s="18">
        <v>162</v>
      </c>
      <c r="D95" s="45"/>
    </row>
    <row r="96" ht="20.05" customHeight="1">
      <c r="B96" s="29"/>
      <c r="C96" s="18">
        <v>169</v>
      </c>
      <c r="D96" s="30"/>
    </row>
    <row r="97" ht="20.05" customHeight="1">
      <c r="B97" s="29"/>
      <c r="C97" s="18">
        <v>182</v>
      </c>
      <c r="D97" s="30"/>
    </row>
    <row r="98" ht="20.05" customHeight="1">
      <c r="B98" s="29"/>
      <c r="C98" s="18">
        <v>188</v>
      </c>
      <c r="D98" s="45">
        <f>C98</f>
        <v>188</v>
      </c>
    </row>
    <row r="99" ht="20.05" customHeight="1">
      <c r="B99" s="29"/>
      <c r="C99" s="18"/>
      <c r="D99" s="45">
        <f>'Model'!F42</f>
        <v>253.354775832431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