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<sst xmlns="http://schemas.openxmlformats.org/spreadsheetml/2006/main" uniqueCount="57">
  <si>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</si>
  <si>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</si>
  <si>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2021</t>
  </si>
  <si>
    <t>Cashflow</t>
  </si>
  <si>
    <t>Growth</t>
  </si>
  <si>
    <t>Sales</t>
  </si>
  <si>
    <t>Cash cost ratio</t>
  </si>
  <si>
    <t xml:space="preserve">Cash cost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</si>
  <si>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</si>
  <si>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</si>
  <si>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</si>
  <si>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</si>
  <si>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</si>
  <si>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</si>
  <si>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</si>
  <si>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</si>
  <si>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</si>
  <si>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</si>
  <si>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</si>
  <si>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</si>
  <si>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</si>
  <si>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</si>
  <si>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</si>
  <si>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</si>
  <si>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</si>
  <si>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</si>
  <si>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</si>
  <si>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</si>
  <si>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</si>
  <si>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</si>
  <si>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</si>
  <si>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</si>
  <si>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</si>
  <si>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</si>
  <si>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</si>
  <si>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</si>
  <si>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</si>
  <si>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</si>
  <si>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</si>
  <si>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</si>
  <si>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</si>
  <si>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</si>
  <si>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 gain (loss)</t>
  </si>
  <si>
    <t>Net profit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</si>
  <si>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</si>
  <si>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</si>
  <si>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</si>
  <si>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</si>
  <si>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</si>
  <si>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</si>
  <si>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Leases</t>
  </si>
  <si>
    <t xml:space="preserve">Free cashflow </t>
  </si>
  <si>
    <t xml:space="preserve">Cash </t>
  </si>
  <si>
    <t>Assets</t>
  </si>
  <si>
    <t>Check</t>
  </si>
  <si>
    <t>Share price</t>
  </si>
  <si>
    <t>ANTM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</si>
</sst>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654904</xdr:colOff>
      <xdr:row>1</xdr:row>
      <xdr:rowOff>332015</xdr:rowOff>
    </xdr:from>
    <xdr:to>
      <xdr:col>13</xdr:col>
      <xdr:colOff>731580</xdr:colOff>
      <xdr:row>46</xdr:row>
      <xdr:rowOff>62711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39604" y="535850"/>
          <a:ext cx="8788877" cy="113130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1094" style="1" customWidth="1"/>
    <col min="2" max="2" width="14.7656" style="1" customWidth="1"/>
    <col min="3" max="6" width="9.09375" style="1" customWidth="1"/>
    <col min="7" max="16384" width="16.3516" style="1" customWidth="1"/>
  </cols>
  <sheetData>
    <row r="1" ht="16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6"/>
      <c r="F3" s="6"/>
    </row>
    <row r="4" ht="20.3" customHeight="1">
      <c r="B4" t="s" s="7">
        <v>3</v>
      </c>
      <c r="C4" s="8">
        <f>AVERAGE('Sales'!H27:H30)</f>
        <v>0.0156686202039604</v>
      </c>
      <c r="D4" s="9"/>
      <c r="E4" s="9"/>
      <c r="F4" s="10">
        <f>AVERAGE(C5:F5)</f>
        <v>0.0475</v>
      </c>
    </row>
    <row r="5" ht="20.1" customHeight="1">
      <c r="B5" t="s" s="11">
        <v>4</v>
      </c>
      <c r="C5" s="12">
        <v>0.15</v>
      </c>
      <c r="D5" s="13">
        <v>-0.03</v>
      </c>
      <c r="E5" s="13">
        <v>0.02</v>
      </c>
      <c r="F5" s="13">
        <v>0.05</v>
      </c>
    </row>
    <row r="6" ht="20.1" customHeight="1">
      <c r="B6" t="s" s="11">
        <v>5</v>
      </c>
      <c r="C6" s="14">
        <f>'Sales'!C30*(1+C5)</f>
        <v>10581.495</v>
      </c>
      <c r="D6" s="15">
        <f>C6*(1+D5)</f>
        <v>10264.05015</v>
      </c>
      <c r="E6" s="15">
        <f>D6*(1+E5)</f>
        <v>10469.331153</v>
      </c>
      <c r="F6" s="15">
        <f>E6*(1+F5)</f>
        <v>10992.79771065</v>
      </c>
    </row>
    <row r="7" ht="20.1" customHeight="1">
      <c r="B7" t="s" s="11">
        <v>6</v>
      </c>
      <c r="C7" s="16">
        <f>AVERAGE('Sales'!I30)</f>
        <v>-0.906100224968211</v>
      </c>
      <c r="D7" s="17">
        <f>C7</f>
        <v>-0.906100224968211</v>
      </c>
      <c r="E7" s="17">
        <f>D7</f>
        <v>-0.906100224968211</v>
      </c>
      <c r="F7" s="17">
        <f>E7</f>
        <v>-0.906100224968211</v>
      </c>
    </row>
    <row r="8" ht="20.1" customHeight="1">
      <c r="B8" t="s" s="11">
        <v>7</v>
      </c>
      <c r="C8" s="18">
        <f>C7*C6</f>
        <v>-9587.895</v>
      </c>
      <c r="D8" s="19">
        <f>D7*D6</f>
        <v>-9300.25815</v>
      </c>
      <c r="E8" s="19">
        <f>E7*E6</f>
        <v>-9486.263312999999</v>
      </c>
      <c r="F8" s="19">
        <f>F7*F6</f>
        <v>-9960.57647865</v>
      </c>
    </row>
    <row r="9" ht="20.1" customHeight="1">
      <c r="B9" t="s" s="11">
        <v>8</v>
      </c>
      <c r="C9" s="18">
        <f>C6+C8</f>
        <v>993.6</v>
      </c>
      <c r="D9" s="19">
        <f>D6+D8</f>
        <v>963.792</v>
      </c>
      <c r="E9" s="19">
        <f>E6+E8</f>
        <v>983.06784</v>
      </c>
      <c r="F9" s="19">
        <f>F6+F8</f>
        <v>1032.221232</v>
      </c>
    </row>
    <row r="10" ht="20.05" customHeight="1">
      <c r="B10" t="s" s="11">
        <v>9</v>
      </c>
      <c r="C10" s="18">
        <f>AVERAGE('Cashflow'!E28:E30)</f>
        <v>-193.966666666667</v>
      </c>
      <c r="D10" s="19">
        <f>C10</f>
        <v>-193.966666666667</v>
      </c>
      <c r="E10" s="19">
        <f>D10</f>
        <v>-193.966666666667</v>
      </c>
      <c r="F10" s="19">
        <f>E10</f>
        <v>-193.966666666667</v>
      </c>
    </row>
    <row r="11" ht="20.1" customHeight="1">
      <c r="B11" t="s" s="11">
        <v>10</v>
      </c>
      <c r="C11" s="18">
        <f>C12+C13+C15</f>
        <v>-799.633333333333</v>
      </c>
      <c r="D11" s="19">
        <f>D12+D13+D15</f>
        <v>-769.825333333333</v>
      </c>
      <c r="E11" s="19">
        <f>E12+E13+E15</f>
        <v>-789.101173333333</v>
      </c>
      <c r="F11" s="19">
        <f>F12+F13+F15</f>
        <v>-838.2545653333329</v>
      </c>
    </row>
    <row r="12" ht="20.1" customHeight="1">
      <c r="B12" t="s" s="11">
        <v>11</v>
      </c>
      <c r="C12" s="18">
        <f>-('Balance sheets '!G29)/20</f>
        <v>-647.85</v>
      </c>
      <c r="D12" s="19">
        <f>-C26/20</f>
        <v>-615.4575</v>
      </c>
      <c r="E12" s="19">
        <f>-D26/20</f>
        <v>-584.684625</v>
      </c>
      <c r="F12" s="19">
        <f>-E26/20</f>
        <v>-555.45039375</v>
      </c>
    </row>
    <row r="13" ht="20.1" customHeight="1">
      <c r="B13" t="s" s="11">
        <v>12</v>
      </c>
      <c r="C13" s="18">
        <f>IF(C21&gt;0,-C21*0.4,0)</f>
        <v>-305.68</v>
      </c>
      <c r="D13" s="19">
        <f>IF(D21&gt;0,-D21*0.4,0)</f>
        <v>-293.7568</v>
      </c>
      <c r="E13" s="19">
        <f>IF(E21&gt;0,-E21*0.4,0)</f>
        <v>-301.467136</v>
      </c>
      <c r="F13" s="19">
        <f>IF(F21&gt;0,-F21*0.4,0)</f>
        <v>-321.1284928</v>
      </c>
    </row>
    <row r="14" ht="20.05" customHeight="1">
      <c r="B14" t="s" s="11">
        <v>13</v>
      </c>
      <c r="C14" s="18">
        <f>C9+C10+C12+C13</f>
        <v>-153.896666666667</v>
      </c>
      <c r="D14" s="19">
        <f>D9+D10+D12+D13</f>
        <v>-139.388966666667</v>
      </c>
      <c r="E14" s="19">
        <f>E9+E10+E12+E13</f>
        <v>-97.050587666667</v>
      </c>
      <c r="F14" s="19">
        <f>F9+F10+F12+F13</f>
        <v>-38.324321216667</v>
      </c>
    </row>
    <row r="15" ht="20.1" customHeight="1">
      <c r="B15" t="s" s="11">
        <v>14</v>
      </c>
      <c r="C15" s="18">
        <f>-MIN(0,C14)</f>
        <v>153.896666666667</v>
      </c>
      <c r="D15" s="19">
        <f>-MIN(C27,D14)</f>
        <v>139.388966666667</v>
      </c>
      <c r="E15" s="19">
        <f>-MIN(D27,E14)</f>
        <v>97.050587666667</v>
      </c>
      <c r="F15" s="19">
        <f>-MIN(E27,F14)</f>
        <v>38.324321216667</v>
      </c>
    </row>
    <row r="16" ht="20.1" customHeight="1">
      <c r="B16" t="s" s="11">
        <v>15</v>
      </c>
      <c r="C16" s="18">
        <f>'Balance sheets '!C29</f>
        <v>6368</v>
      </c>
      <c r="D16" s="19">
        <f>C18</f>
        <v>6368</v>
      </c>
      <c r="E16" s="19">
        <f>D18</f>
        <v>6368</v>
      </c>
      <c r="F16" s="19">
        <f>E18</f>
        <v>6368</v>
      </c>
    </row>
    <row r="17" ht="20.1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1" customHeight="1">
      <c r="B18" t="s" s="11">
        <v>17</v>
      </c>
      <c r="C18" s="18">
        <f>C16+C17</f>
        <v>6368</v>
      </c>
      <c r="D18" s="19">
        <f>D16+D17</f>
        <v>6368</v>
      </c>
      <c r="E18" s="19">
        <f>E16+E17</f>
        <v>6368</v>
      </c>
      <c r="F18" s="19">
        <f>F16+F17</f>
        <v>6368</v>
      </c>
    </row>
    <row r="19" ht="20.1" customHeight="1">
      <c r="B19" t="s" s="20">
        <v>18</v>
      </c>
      <c r="C19" s="21"/>
      <c r="D19" s="22"/>
      <c r="E19" s="22"/>
      <c r="F19" s="23"/>
    </row>
    <row r="20" ht="20.1" customHeight="1">
      <c r="B20" t="s" s="11">
        <v>19</v>
      </c>
      <c r="C20" s="18">
        <f>-AVERAGE('Sales'!E30)</f>
        <v>-229.4</v>
      </c>
      <c r="D20" s="19">
        <f>C20</f>
        <v>-229.4</v>
      </c>
      <c r="E20" s="19">
        <f>D20</f>
        <v>-229.4</v>
      </c>
      <c r="F20" s="19">
        <f>E20</f>
        <v>-229.4</v>
      </c>
    </row>
    <row r="21" ht="20.1" customHeight="1">
      <c r="B21" t="s" s="11">
        <v>20</v>
      </c>
      <c r="C21" s="18">
        <f>C6+C8+C20</f>
        <v>764.2</v>
      </c>
      <c r="D21" s="19">
        <f>D6+D8+D20</f>
        <v>734.3920000000001</v>
      </c>
      <c r="E21" s="19">
        <f>E6+E8+E20</f>
        <v>753.66784</v>
      </c>
      <c r="F21" s="19">
        <f>F6+F8+F20</f>
        <v>802.821232</v>
      </c>
    </row>
    <row r="22" ht="20.1" customHeight="1">
      <c r="B22" t="s" s="20">
        <v>21</v>
      </c>
      <c r="C22" s="21"/>
      <c r="D22" s="22"/>
      <c r="E22" s="22"/>
      <c r="F22" s="19"/>
    </row>
    <row r="23" ht="20.1" customHeight="1">
      <c r="B23" t="s" s="11">
        <v>22</v>
      </c>
      <c r="C23" s="18">
        <f>'Balance sheets '!E29+'Balance sheets '!F29-C10</f>
        <v>41075.9666666667</v>
      </c>
      <c r="D23" s="19">
        <f>C23-D10</f>
        <v>41269.9333333334</v>
      </c>
      <c r="E23" s="19">
        <f>D23-E10</f>
        <v>41463.9000000001</v>
      </c>
      <c r="F23" s="19">
        <f>E23-F10</f>
        <v>41657.8666666668</v>
      </c>
    </row>
    <row r="24" ht="20.1" customHeight="1">
      <c r="B24" t="s" s="11">
        <v>23</v>
      </c>
      <c r="C24" s="18">
        <f>'Balance sheets '!F29-C20</f>
        <v>14178.4</v>
      </c>
      <c r="D24" s="19">
        <f>C24-D20</f>
        <v>14407.8</v>
      </c>
      <c r="E24" s="19">
        <f>D24-E20</f>
        <v>14637.2</v>
      </c>
      <c r="F24" s="19">
        <f>E24-F20</f>
        <v>14866.6</v>
      </c>
    </row>
    <row r="25" ht="20.1" customHeight="1">
      <c r="B25" t="s" s="11">
        <v>24</v>
      </c>
      <c r="C25" s="18">
        <f>C23-C24</f>
        <v>26897.5666666667</v>
      </c>
      <c r="D25" s="19">
        <f>D23-D24</f>
        <v>26862.1333333334</v>
      </c>
      <c r="E25" s="19">
        <f>E23-E24</f>
        <v>26826.7000000001</v>
      </c>
      <c r="F25" s="19">
        <f>F23-F24</f>
        <v>26791.2666666668</v>
      </c>
    </row>
    <row r="26" ht="20.05" customHeight="1">
      <c r="B26" t="s" s="11">
        <v>11</v>
      </c>
      <c r="C26" s="18">
        <f>'Balance sheets '!G29+C12</f>
        <v>12309.15</v>
      </c>
      <c r="D26" s="19">
        <f>C26+D12</f>
        <v>11693.6925</v>
      </c>
      <c r="E26" s="19">
        <f>D26+E12</f>
        <v>11109.007875</v>
      </c>
      <c r="F26" s="19">
        <f>E26+F12</f>
        <v>10553.55748125</v>
      </c>
    </row>
    <row r="27" ht="20.1" customHeight="1">
      <c r="B27" t="s" s="11">
        <v>14</v>
      </c>
      <c r="C27" s="18">
        <f>C15</f>
        <v>153.896666666667</v>
      </c>
      <c r="D27" s="19">
        <f>C27+D15</f>
        <v>293.285633333334</v>
      </c>
      <c r="E27" s="19">
        <f>D27+E15</f>
        <v>390.336221000001</v>
      </c>
      <c r="F27" s="19">
        <f>E27+F15</f>
        <v>428.660542216668</v>
      </c>
    </row>
    <row r="28" ht="20.05" customHeight="1">
      <c r="B28" t="s" s="11">
        <v>25</v>
      </c>
      <c r="C28" s="18">
        <f>'Balance sheets '!H29+C21+C13</f>
        <v>20802.52</v>
      </c>
      <c r="D28" s="19">
        <f>C28+D21+D13</f>
        <v>21243.1552</v>
      </c>
      <c r="E28" s="19">
        <f>D28+E21+E13</f>
        <v>21695.355904</v>
      </c>
      <c r="F28" s="19">
        <f>E28+F21+F13</f>
        <v>22177.0486432</v>
      </c>
    </row>
    <row r="29" ht="20.1" customHeight="1">
      <c r="B29" t="s" s="11">
        <v>26</v>
      </c>
      <c r="C29" s="18">
        <f>C26+C27+C28-C18-C25</f>
        <v>-3.3e-11</v>
      </c>
      <c r="D29" s="19">
        <f>D26+D27+D28-D18-D25</f>
        <v>-6.6e-11</v>
      </c>
      <c r="E29" s="19">
        <f>E26+E27+E28-E18-E25</f>
        <v>-9.899999999999999e-11</v>
      </c>
      <c r="F29" s="19">
        <f>F26+F27+F28-F18-F25</f>
        <v>-1.32e-10</v>
      </c>
    </row>
    <row r="30" ht="20.1" customHeight="1">
      <c r="B30" t="s" s="11">
        <v>27</v>
      </c>
      <c r="C30" s="18">
        <f>C18-C26-C27</f>
        <v>-6095.046666666670</v>
      </c>
      <c r="D30" s="19">
        <f>D18-D26-D27</f>
        <v>-5618.978133333330</v>
      </c>
      <c r="E30" s="19">
        <f>E18-E26-E27</f>
        <v>-5131.344096</v>
      </c>
      <c r="F30" s="19">
        <f>F18-F26-F27</f>
        <v>-4614.218023466670</v>
      </c>
    </row>
    <row r="31" ht="20.1" customHeight="1">
      <c r="B31" t="s" s="20">
        <v>28</v>
      </c>
      <c r="C31" s="18"/>
      <c r="D31" s="19"/>
      <c r="E31" s="19"/>
      <c r="F31" s="19"/>
    </row>
    <row r="32" ht="20.1" customHeight="1">
      <c r="B32" t="s" s="11">
        <v>29</v>
      </c>
      <c r="C32" s="18">
        <f>'Cashflow'!K30-C11</f>
        <v>-807.2446666666669</v>
      </c>
      <c r="D32" s="19">
        <f>C32-D11</f>
        <v>-37.419333333334</v>
      </c>
      <c r="E32" s="19">
        <f>D32-E11</f>
        <v>751.6818399999991</v>
      </c>
      <c r="F32" s="19">
        <f>E32-F11</f>
        <v>1589.936405333330</v>
      </c>
    </row>
    <row r="33" ht="20.1" customHeight="1">
      <c r="B33" t="s" s="11">
        <v>30</v>
      </c>
      <c r="C33" s="18"/>
      <c r="D33" s="19"/>
      <c r="E33" s="19"/>
      <c r="F33" s="19">
        <v>57430</v>
      </c>
    </row>
    <row r="34" ht="20.1" customHeight="1">
      <c r="B34" t="s" s="11">
        <v>31</v>
      </c>
      <c r="C34" s="18"/>
      <c r="D34" s="19"/>
      <c r="E34" s="19"/>
      <c r="F34" s="24">
        <f>F33/(F18+F25)</f>
        <v>1.7319442126786</v>
      </c>
    </row>
    <row r="35" ht="20.1" customHeight="1">
      <c r="B35" t="s" s="11">
        <v>32</v>
      </c>
      <c r="C35" s="18"/>
      <c r="D35" s="19"/>
      <c r="E35" s="19"/>
      <c r="F35" s="25">
        <f>-(C13+D13+E13+F13)/F33</f>
        <v>0.0212786423263103</v>
      </c>
    </row>
    <row r="36" ht="20.1" customHeight="1">
      <c r="B36" t="s" s="11">
        <v>3</v>
      </c>
      <c r="C36" s="18"/>
      <c r="D36" s="19"/>
      <c r="E36" s="19"/>
      <c r="F36" s="19">
        <f>SUM(C9:F10)</f>
        <v>3196.814405333330</v>
      </c>
    </row>
    <row r="37" ht="20.1" customHeight="1">
      <c r="B37" t="s" s="11">
        <v>33</v>
      </c>
      <c r="C37" s="18"/>
      <c r="D37" s="19"/>
      <c r="E37" s="19"/>
      <c r="F37" s="19">
        <f>'Balance sheets '!E29/F36</f>
        <v>8.424949523208779</v>
      </c>
    </row>
    <row r="38" ht="20.1" customHeight="1">
      <c r="B38" t="s" s="11">
        <v>28</v>
      </c>
      <c r="C38" s="18"/>
      <c r="D38" s="19"/>
      <c r="E38" s="19"/>
      <c r="F38" s="19">
        <f>F33/F36</f>
        <v>17.9647588875313</v>
      </c>
    </row>
    <row r="39" ht="20.1" customHeight="1">
      <c r="B39" t="s" s="11">
        <v>34</v>
      </c>
      <c r="C39" s="18"/>
      <c r="D39" s="19"/>
      <c r="E39" s="19"/>
      <c r="F39" s="19">
        <v>22</v>
      </c>
    </row>
    <row r="40" ht="20.1" customHeight="1">
      <c r="B40" t="s" s="11">
        <v>35</v>
      </c>
      <c r="C40" s="18"/>
      <c r="D40" s="19"/>
      <c r="E40" s="19"/>
      <c r="F40" s="19">
        <f>F36*F39</f>
        <v>70329.916917333307</v>
      </c>
    </row>
    <row r="41" ht="20.1" customHeight="1">
      <c r="B41" t="s" s="11">
        <v>36</v>
      </c>
      <c r="C41" s="18"/>
      <c r="D41" s="19"/>
      <c r="E41" s="19"/>
      <c r="F41" s="19">
        <f>F33/F43</f>
        <v>24.0292887029289</v>
      </c>
    </row>
    <row r="42" ht="20.1" customHeight="1">
      <c r="B42" t="s" s="11">
        <v>37</v>
      </c>
      <c r="C42" s="18"/>
      <c r="D42" s="19"/>
      <c r="E42" s="19"/>
      <c r="F42" s="19">
        <f>F40/F41</f>
        <v>2926.8413970473</v>
      </c>
    </row>
    <row r="43" ht="20.1" customHeight="1">
      <c r="B43" t="s" s="11">
        <v>38</v>
      </c>
      <c r="C43" s="18"/>
      <c r="D43" s="19"/>
      <c r="E43" s="19"/>
      <c r="F43" s="19">
        <f>'Share price'!C98</f>
        <v>2390</v>
      </c>
    </row>
    <row r="44" ht="20.1" customHeight="1">
      <c r="B44" t="s" s="11">
        <v>39</v>
      </c>
      <c r="C44" s="18"/>
      <c r="D44" s="19"/>
      <c r="E44" s="19"/>
      <c r="F44" s="17">
        <f>F42/F43-1</f>
        <v>0.224619831400544</v>
      </c>
    </row>
    <row r="45" ht="20.1" customHeight="1">
      <c r="B45" t="s" s="11">
        <v>40</v>
      </c>
      <c r="C45" s="18"/>
      <c r="D45" s="19"/>
      <c r="E45" s="19"/>
      <c r="F45" s="17">
        <f>'Sales'!C30/'Sales'!C26-1</f>
        <v>0.0442969016002724</v>
      </c>
    </row>
    <row r="46" ht="20.1" customHeight="1">
      <c r="B46" t="s" s="11">
        <v>41</v>
      </c>
      <c r="C46" s="18"/>
      <c r="D46" s="19"/>
      <c r="E46" s="19"/>
      <c r="F46" s="17">
        <f>('Sales'!D30+'Sales'!D24+'Sales'!D26+'Sales'!D27+'Sales'!D28+'Sales'!D29)/('Sales'!C24+'Sales'!C25+'Sales'!C26+'Sales'!C27+'Sales'!C28+'Sales'!C30+'Sales'!C29)-1</f>
        <v>-0.09412451275156319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03906" style="26" customWidth="1"/>
    <col min="2" max="2" width="6.46875" style="26" customWidth="1"/>
    <col min="3" max="3" width="10.9766" style="26" customWidth="1"/>
    <col min="4" max="6" width="13.6094" style="26" customWidth="1"/>
    <col min="7" max="11" width="10.9766" style="26" customWidth="1"/>
    <col min="12" max="16384" width="16.3516" style="26" customWidth="1"/>
  </cols>
  <sheetData>
    <row r="1" ht="15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42</v>
      </c>
      <c r="G3" t="s" s="4">
        <v>43</v>
      </c>
      <c r="H3" t="s" s="4">
        <v>44</v>
      </c>
      <c r="I3" t="s" s="4">
        <v>45</v>
      </c>
      <c r="J3" t="s" s="4">
        <v>46</v>
      </c>
      <c r="K3" t="s" s="4">
        <v>46</v>
      </c>
    </row>
    <row r="4" ht="20.25" customHeight="1">
      <c r="B4" s="27">
        <v>2015</v>
      </c>
      <c r="C4" s="28">
        <v>2866.614</v>
      </c>
      <c r="D4" s="29"/>
      <c r="E4" s="30">
        <v>0</v>
      </c>
      <c r="F4" s="30"/>
      <c r="G4" s="30">
        <v>-240</v>
      </c>
      <c r="H4" s="31"/>
      <c r="I4" s="31">
        <f>(E4+G4-F4-C4)/C4</f>
        <v>-1.08372246838954</v>
      </c>
      <c r="J4" s="31"/>
      <c r="K4" s="31">
        <f>('Cashflow'!D4-'Cashflow'!C4)/'Cashflow'!C4</f>
        <v>-1.09536110241153</v>
      </c>
    </row>
    <row r="5" ht="20.05" customHeight="1">
      <c r="B5" s="32"/>
      <c r="C5" s="18">
        <v>4982.401</v>
      </c>
      <c r="D5" s="22"/>
      <c r="E5" s="19">
        <v>0</v>
      </c>
      <c r="F5" s="19"/>
      <c r="G5" s="19">
        <v>-156</v>
      </c>
      <c r="H5" s="17">
        <f>C5/C4-1</f>
        <v>0.738078792610376</v>
      </c>
      <c r="I5" s="17">
        <f>(E5+G5-F5-C5)/C5</f>
        <v>-1.03131020566189</v>
      </c>
      <c r="J5" s="17"/>
      <c r="K5" s="17">
        <f>('Cashflow'!D5-'Cashflow'!C5)/'Cashflow'!C5</f>
        <v>-1.12304324716115</v>
      </c>
    </row>
    <row r="6" ht="20.05" customHeight="1">
      <c r="B6" s="32"/>
      <c r="C6" s="18">
        <v>1194.771</v>
      </c>
      <c r="D6" s="22"/>
      <c r="E6" s="19">
        <v>0</v>
      </c>
      <c r="F6" s="19"/>
      <c r="G6" s="19">
        <v>-642</v>
      </c>
      <c r="H6" s="17">
        <f>C6/C5-1</f>
        <v>-0.76020175814833</v>
      </c>
      <c r="I6" s="17">
        <f>(E6+G6-F6-C6)/C6</f>
        <v>-1.53734146543564</v>
      </c>
      <c r="J6" s="17"/>
      <c r="K6" s="17">
        <f>('Cashflow'!D6-'Cashflow'!C6)/'Cashflow'!C6</f>
        <v>-0.484407478427613</v>
      </c>
    </row>
    <row r="7" ht="20.05" customHeight="1">
      <c r="B7" s="32"/>
      <c r="C7" s="18">
        <v>1487.719</v>
      </c>
      <c r="D7" s="22"/>
      <c r="E7" s="19">
        <v>0</v>
      </c>
      <c r="F7" s="19"/>
      <c r="G7" s="19">
        <v>-402</v>
      </c>
      <c r="H7" s="17">
        <f>C7/C6-1</f>
        <v>0.245191756411898</v>
      </c>
      <c r="I7" s="17">
        <f>(E7+G7-F7-C7)/C7</f>
        <v>-1.27021231832087</v>
      </c>
      <c r="J7" s="17"/>
      <c r="K7" s="17">
        <f>('Cashflow'!D7-'Cashflow'!C7)/'Cashflow'!C7</f>
        <v>-0.8648762641284951</v>
      </c>
    </row>
    <row r="8" ht="20.05" customHeight="1">
      <c r="B8" s="33">
        <v>2016</v>
      </c>
      <c r="C8" s="18">
        <v>1981.708</v>
      </c>
      <c r="D8" s="22"/>
      <c r="E8" s="19">
        <v>0</v>
      </c>
      <c r="F8" s="19"/>
      <c r="G8" s="19">
        <v>5</v>
      </c>
      <c r="H8" s="17">
        <f>C8/C7-1</f>
        <v>0.332044559490065</v>
      </c>
      <c r="I8" s="17">
        <f>(E8+G8-F8-C8)/C8</f>
        <v>-0.997476923946414</v>
      </c>
      <c r="J8" s="17"/>
      <c r="K8" s="17">
        <f>('Cashflow'!D8-'Cashflow'!C8)/'Cashflow'!C8</f>
        <v>-0.998743106617647</v>
      </c>
    </row>
    <row r="9" ht="20.05" customHeight="1">
      <c r="B9" s="32"/>
      <c r="C9" s="18">
        <v>2180.953</v>
      </c>
      <c r="D9" s="22"/>
      <c r="E9" s="19">
        <v>0</v>
      </c>
      <c r="F9" s="19"/>
      <c r="G9" s="19">
        <v>6</v>
      </c>
      <c r="H9" s="17">
        <f>C9/C8-1</f>
        <v>0.100542057659352</v>
      </c>
      <c r="I9" s="17">
        <f>(E9+G9-F9-C9)/C9</f>
        <v>-0.997248909077821</v>
      </c>
      <c r="J9" s="17"/>
      <c r="K9" s="17">
        <f>('Cashflow'!D9-'Cashflow'!C9)/'Cashflow'!C9</f>
        <v>-0.731727085478888</v>
      </c>
    </row>
    <row r="10" ht="20.05" customHeight="1">
      <c r="B10" s="32"/>
      <c r="C10" s="18">
        <v>2282.579</v>
      </c>
      <c r="D10" s="22"/>
      <c r="E10" s="19">
        <v>0</v>
      </c>
      <c r="F10" s="19"/>
      <c r="G10" s="19">
        <v>27</v>
      </c>
      <c r="H10" s="17">
        <f>C10/C9-1</f>
        <v>0.0465970610095678</v>
      </c>
      <c r="I10" s="17">
        <f>(E10+G10-F10-C10)/C10</f>
        <v>-0.988171274685345</v>
      </c>
      <c r="J10" s="17"/>
      <c r="K10" s="17">
        <f>('Cashflow'!D10-'Cashflow'!C10)/'Cashflow'!C10</f>
        <v>-0.924948368442792</v>
      </c>
    </row>
    <row r="11" ht="20.05" customHeight="1">
      <c r="B11" s="32"/>
      <c r="C11" s="18">
        <v>2661.021</v>
      </c>
      <c r="D11" s="22"/>
      <c r="E11" s="19">
        <v>0</v>
      </c>
      <c r="F11" s="19"/>
      <c r="G11" s="19">
        <v>27</v>
      </c>
      <c r="H11" s="17">
        <f>C11/C10-1</f>
        <v>0.165795795019581</v>
      </c>
      <c r="I11" s="17">
        <f>(E11+G11-F11-C11)/C11</f>
        <v>-0.989853518630631</v>
      </c>
      <c r="J11" s="17"/>
      <c r="K11" s="17">
        <f>('Cashflow'!D11-'Cashflow'!C11)/'Cashflow'!C11</f>
        <v>-0.865347089487402</v>
      </c>
    </row>
    <row r="12" ht="20.05" customHeight="1">
      <c r="B12" s="33">
        <v>2017</v>
      </c>
      <c r="C12" s="18">
        <v>1650.819</v>
      </c>
      <c r="D12" s="22"/>
      <c r="E12" s="19">
        <v>180</v>
      </c>
      <c r="F12" s="19"/>
      <c r="G12" s="19">
        <v>6</v>
      </c>
      <c r="H12" s="17">
        <f>C12/C11-1</f>
        <v>-0.379629473048127</v>
      </c>
      <c r="I12" s="17">
        <f>(E12+G12-F12-C12)/C12</f>
        <v>-0.887328653232123</v>
      </c>
      <c r="J12" s="17">
        <f>AVERAGE(K9:K12)</f>
        <v>-0.860920106265001</v>
      </c>
      <c r="K12" s="17">
        <f>('Cashflow'!D12-'Cashflow'!C12)/'Cashflow'!C12</f>
        <v>-0.92165788165092</v>
      </c>
    </row>
    <row r="13" ht="20.05" customHeight="1">
      <c r="B13" s="32"/>
      <c r="C13" s="18">
        <v>1360.268</v>
      </c>
      <c r="D13" s="22"/>
      <c r="E13" s="19">
        <v>197</v>
      </c>
      <c r="F13" s="19"/>
      <c r="G13" s="19">
        <v>-502</v>
      </c>
      <c r="H13" s="17">
        <f>C13/C12-1</f>
        <v>-0.176004153090072</v>
      </c>
      <c r="I13" s="17">
        <f>(E13+G13-F13-C13)/C13</f>
        <v>-1.22422052125022</v>
      </c>
      <c r="J13" s="17">
        <f>AVERAGE(K10:K13)</f>
        <v>-1.03881712799873</v>
      </c>
      <c r="K13" s="17">
        <f>('Cashflow'!D13-'Cashflow'!C13)/'Cashflow'!C13</f>
        <v>-1.44331517241379</v>
      </c>
    </row>
    <row r="14" ht="20.05" customHeight="1">
      <c r="B14" s="32"/>
      <c r="C14" s="18">
        <v>3950.956</v>
      </c>
      <c r="D14" s="22"/>
      <c r="E14" s="19">
        <v>260</v>
      </c>
      <c r="F14" s="19"/>
      <c r="G14" s="19">
        <v>165</v>
      </c>
      <c r="H14" s="17">
        <f>C14/C13-1</f>
        <v>1.9045423401859</v>
      </c>
      <c r="I14" s="17">
        <f>(E14+G14-F14-C14)/C14</f>
        <v>-0.8924310976887621</v>
      </c>
      <c r="J14" s="17">
        <f>AVERAGE(K11:K14)</f>
        <v>-0.992963431660038</v>
      </c>
      <c r="K14" s="17">
        <f>('Cashflow'!D14-'Cashflow'!C14)/'Cashflow'!C14</f>
        <v>-0.741533583088039</v>
      </c>
    </row>
    <row r="15" ht="20.05" customHeight="1">
      <c r="B15" s="32"/>
      <c r="C15" s="18">
        <v>5691.576</v>
      </c>
      <c r="D15" s="22"/>
      <c r="E15" s="19">
        <v>193</v>
      </c>
      <c r="F15" s="19"/>
      <c r="G15" s="19">
        <v>468</v>
      </c>
      <c r="H15" s="17">
        <f>C15/C14-1</f>
        <v>0.440556665272911</v>
      </c>
      <c r="I15" s="17">
        <f>(E15+G15-F15-C15)/C15</f>
        <v>-0.883863450123481</v>
      </c>
      <c r="J15" s="17">
        <f>AVERAGE(K12:K15)</f>
        <v>-0.982064667619868</v>
      </c>
      <c r="K15" s="17">
        <f>('Cashflow'!D15-'Cashflow'!C15)/'Cashflow'!C15</f>
        <v>-0.821752033326721</v>
      </c>
    </row>
    <row r="16" ht="20.05" customHeight="1">
      <c r="B16" s="33">
        <v>2018</v>
      </c>
      <c r="C16" s="18">
        <v>5731.416</v>
      </c>
      <c r="D16" s="22"/>
      <c r="E16" s="19">
        <v>227</v>
      </c>
      <c r="F16" s="19"/>
      <c r="G16" s="19">
        <v>245</v>
      </c>
      <c r="H16" s="17">
        <f>C16/C15-1</f>
        <v>0.00699981867939565</v>
      </c>
      <c r="I16" s="17">
        <f>(E16+G16-F16-C16)/C16</f>
        <v>-0.9176468781885661</v>
      </c>
      <c r="J16" s="17">
        <f>AVERAGE(K13:K16)</f>
        <v>-0.999522024194446</v>
      </c>
      <c r="K16" s="17">
        <f>('Cashflow'!D16-'Cashflow'!C16)/'Cashflow'!C16</f>
        <v>-0.991487307949232</v>
      </c>
    </row>
    <row r="17" ht="20.05" customHeight="1">
      <c r="B17" s="32"/>
      <c r="C17" s="18">
        <v>6084.432</v>
      </c>
      <c r="D17" s="22"/>
      <c r="E17" s="19">
        <v>230</v>
      </c>
      <c r="F17" s="19"/>
      <c r="G17" s="19">
        <v>99</v>
      </c>
      <c r="H17" s="17">
        <f>C17/C16-1</f>
        <v>0.0615931560368328</v>
      </c>
      <c r="I17" s="17">
        <f>(E17+G17-F17-C17)/C17</f>
        <v>-0.945927573847485</v>
      </c>
      <c r="J17" s="17">
        <f>AVERAGE(K14:K17)</f>
        <v>-0.893015103837933</v>
      </c>
      <c r="K17" s="17">
        <f>('Cashflow'!D17-'Cashflow'!C17)/'Cashflow'!C17</f>
        <v>-1.01728749098774</v>
      </c>
    </row>
    <row r="18" ht="20.05" customHeight="1">
      <c r="B18" s="32"/>
      <c r="C18" s="18">
        <v>8135.801</v>
      </c>
      <c r="D18" s="22"/>
      <c r="E18" s="19">
        <v>255</v>
      </c>
      <c r="F18" s="19"/>
      <c r="G18" s="19">
        <v>287</v>
      </c>
      <c r="H18" s="17">
        <f>C18/C17-1</f>
        <v>0.337150452170392</v>
      </c>
      <c r="I18" s="17">
        <f>(E18+G18-F18-C18)/C18</f>
        <v>-0.933380868091538</v>
      </c>
      <c r="J18" s="17">
        <f>AVERAGE(K15:K18)</f>
        <v>-0.920077696656772</v>
      </c>
      <c r="K18" s="17">
        <f>('Cashflow'!D18-'Cashflow'!C18)/'Cashflow'!C18</f>
        <v>-0.849783954363394</v>
      </c>
    </row>
    <row r="19" ht="20.05" customHeight="1">
      <c r="B19" s="32"/>
      <c r="C19" s="18">
        <v>5323.551</v>
      </c>
      <c r="D19" s="22"/>
      <c r="E19" s="19">
        <v>140</v>
      </c>
      <c r="F19" s="19"/>
      <c r="G19" s="19">
        <v>1005</v>
      </c>
      <c r="H19" s="17">
        <f>C19/C18-1</f>
        <v>-0.34566356772984</v>
      </c>
      <c r="I19" s="17">
        <f>(E19+G19-F19-C19)/C19</f>
        <v>-0.78491799928281</v>
      </c>
      <c r="J19" s="17">
        <f>AVERAGE(K16:K19)</f>
        <v>-0.9350872368351399</v>
      </c>
      <c r="K19" s="17">
        <f>('Cashflow'!D19-'Cashflow'!C19)/'Cashflow'!C19</f>
        <v>-0.881790194040194</v>
      </c>
    </row>
    <row r="20" ht="20.05" customHeight="1">
      <c r="B20" s="33">
        <v>2019</v>
      </c>
      <c r="C20" s="18">
        <v>6219</v>
      </c>
      <c r="D20" s="22"/>
      <c r="E20" s="19">
        <v>281.3</v>
      </c>
      <c r="F20" s="19">
        <v>-33</v>
      </c>
      <c r="G20" s="19">
        <v>171.7</v>
      </c>
      <c r="H20" s="17">
        <f>C20/C19-1</f>
        <v>0.168205207388827</v>
      </c>
      <c r="I20" s="17">
        <f>(E20+G20-F20-C20)/C20</f>
        <v>-0.921852387843705</v>
      </c>
      <c r="J20" s="17">
        <f>AVERAGE(K17:K20)</f>
        <v>-0.978549806445387</v>
      </c>
      <c r="K20" s="17">
        <f>('Cashflow'!D20-'Cashflow'!C20)/'Cashflow'!C20</f>
        <v>-1.16533758639022</v>
      </c>
    </row>
    <row r="21" ht="20.05" customHeight="1">
      <c r="B21" s="32"/>
      <c r="C21" s="18">
        <v>8207</v>
      </c>
      <c r="D21" s="22"/>
      <c r="E21" s="19">
        <v>250.3</v>
      </c>
      <c r="F21" s="19">
        <v>233</v>
      </c>
      <c r="G21" s="19">
        <v>194.3</v>
      </c>
      <c r="H21" s="17">
        <f>C21/C20-1</f>
        <v>0.319665541083776</v>
      </c>
      <c r="I21" s="17">
        <f>(E21+G21-F21-C21)/C21</f>
        <v>-0.974217131716827</v>
      </c>
      <c r="J21" s="17">
        <f>AVERAGE(K18:K21)</f>
        <v>-0.972704272130574</v>
      </c>
      <c r="K21" s="17">
        <f>('Cashflow'!D21-'Cashflow'!C21)/'Cashflow'!C21</f>
        <v>-0.993905353728489</v>
      </c>
    </row>
    <row r="22" ht="20.05" customHeight="1">
      <c r="B22" s="32"/>
      <c r="C22" s="18">
        <v>10111</v>
      </c>
      <c r="D22" s="22"/>
      <c r="E22" s="19">
        <v>327.4</v>
      </c>
      <c r="F22" s="19">
        <v>-142</v>
      </c>
      <c r="G22" s="19">
        <v>195</v>
      </c>
      <c r="H22" s="17">
        <f>C22/C21-1</f>
        <v>0.231997075667113</v>
      </c>
      <c r="I22" s="17">
        <f>(E22+G22-F22-C22)/C22</f>
        <v>-0.93428938779547</v>
      </c>
      <c r="J22" s="17">
        <f>AVERAGE(K19:K22)</f>
        <v>-0.994961080742523</v>
      </c>
      <c r="K22" s="17">
        <f>('Cashflow'!D22-'Cashflow'!C22)/'Cashflow'!C22</f>
        <v>-0.938811188811189</v>
      </c>
    </row>
    <row r="23" ht="20.05" customHeight="1">
      <c r="B23" s="32"/>
      <c r="C23" s="18">
        <v>8181.5</v>
      </c>
      <c r="D23" s="22"/>
      <c r="E23" s="19">
        <v>260</v>
      </c>
      <c r="F23" s="19">
        <v>254</v>
      </c>
      <c r="G23" s="19">
        <v>-367.2</v>
      </c>
      <c r="H23" s="17">
        <f>C23/C22-1</f>
        <v>-0.190831767382059</v>
      </c>
      <c r="I23" s="17">
        <f>(E23+G23-F23-C23)/C23</f>
        <v>-1.04414838354825</v>
      </c>
      <c r="J23" s="17">
        <f>AVERAGE(K20:K23)</f>
        <v>-0.966984551146447</v>
      </c>
      <c r="K23" s="17">
        <f>('Cashflow'!D23-'Cashflow'!C23)/'Cashflow'!C23</f>
        <v>-0.769884075655888</v>
      </c>
    </row>
    <row r="24" ht="20.05" customHeight="1">
      <c r="B24" s="33">
        <v>2020</v>
      </c>
      <c r="C24" s="18">
        <v>5203</v>
      </c>
      <c r="D24" s="19">
        <v>6219</v>
      </c>
      <c r="E24" s="19">
        <v>238</v>
      </c>
      <c r="F24" s="19">
        <v>-1062</v>
      </c>
      <c r="G24" s="19">
        <v>-282</v>
      </c>
      <c r="H24" s="17">
        <f>C24/C23-1</f>
        <v>-0.364053046507364</v>
      </c>
      <c r="I24" s="17">
        <f>(E24+G24-F24-C24)/C24</f>
        <v>-0.804343647895445</v>
      </c>
      <c r="J24" s="17">
        <f>AVERAGE(K21:K24)</f>
        <v>-0.92481134751889</v>
      </c>
      <c r="K24" s="17">
        <f>('Cashflow'!D24-'Cashflow'!C24)/'Cashflow'!C24</f>
        <v>-0.996644771879993</v>
      </c>
    </row>
    <row r="25" ht="20.05" customHeight="1">
      <c r="B25" s="32"/>
      <c r="C25" s="18">
        <v>4023</v>
      </c>
      <c r="D25" s="19">
        <v>5991.11</v>
      </c>
      <c r="E25" s="19">
        <v>248</v>
      </c>
      <c r="F25" s="19">
        <v>906</v>
      </c>
      <c r="G25" s="19">
        <v>367</v>
      </c>
      <c r="H25" s="17">
        <f>C25/C24-1</f>
        <v>-0.226792235248895</v>
      </c>
      <c r="I25" s="17">
        <f>(E25+G25-F25-C25)/C25</f>
        <v>-1.07233407904549</v>
      </c>
      <c r="J25" s="17">
        <f>AVERAGE(K22:K25)</f>
        <v>-0.919745050927772</v>
      </c>
      <c r="K25" s="17">
        <f>('Cashflow'!D25-'Cashflow'!C25)/'Cashflow'!C25</f>
        <v>-0.973640167364017</v>
      </c>
    </row>
    <row r="26" ht="20.05" customHeight="1">
      <c r="B26" s="32"/>
      <c r="C26" s="18">
        <f>18037-SUM(C24:C25)</f>
        <v>8811</v>
      </c>
      <c r="D26" s="19">
        <v>6572.15</v>
      </c>
      <c r="E26" s="19">
        <f>746-SUM(E24:E25)</f>
        <v>260</v>
      </c>
      <c r="F26" s="19">
        <f>239-SUM(F24:F25)</f>
        <v>395</v>
      </c>
      <c r="G26" s="19">
        <v>751</v>
      </c>
      <c r="H26" s="17">
        <f>C26/C25-1</f>
        <v>1.19015659955257</v>
      </c>
      <c r="I26" s="17">
        <f>(E26+G26-F26-C26)/C26</f>
        <v>-0.930087390761548</v>
      </c>
      <c r="J26" s="17">
        <f>AVERAGE(K23:K26)</f>
        <v>-0.906519343294397</v>
      </c>
      <c r="K26" s="17">
        <f>('Cashflow'!D26-'Cashflow'!C26)/'Cashflow'!C26</f>
        <v>-0.885908358277688</v>
      </c>
    </row>
    <row r="27" ht="20.05" customHeight="1">
      <c r="B27" s="32"/>
      <c r="C27" s="18">
        <v>9335</v>
      </c>
      <c r="D27" s="19">
        <v>7489.35</v>
      </c>
      <c r="E27" s="19">
        <v>353</v>
      </c>
      <c r="F27" s="19">
        <v>-105</v>
      </c>
      <c r="G27" s="19">
        <v>313</v>
      </c>
      <c r="H27" s="17">
        <f>C27/C26-1</f>
        <v>0.0594711156508909</v>
      </c>
      <c r="I27" s="17">
        <f>(G27-F27+E27-C27)/C27</f>
        <v>-0.9174076057846809</v>
      </c>
      <c r="J27" s="17">
        <f>AVERAGE(K24:K27)</f>
        <v>-0.933555795326744</v>
      </c>
      <c r="K27" s="17">
        <f>('Cashflow'!D27-'Cashflow'!C27)/'Cashflow'!C27</f>
        <v>-0.878029883785279</v>
      </c>
    </row>
    <row r="28" ht="20.05" customHeight="1">
      <c r="B28" s="33">
        <v>2021</v>
      </c>
      <c r="C28" s="18">
        <v>9210.5</v>
      </c>
      <c r="D28" s="19">
        <v>10268.5</v>
      </c>
      <c r="E28" s="19">
        <v>212.4</v>
      </c>
      <c r="F28" s="19">
        <v>165.9</v>
      </c>
      <c r="G28" s="19">
        <v>630.4</v>
      </c>
      <c r="H28" s="17">
        <f>C28/C27-1</f>
        <v>-0.0133369041242635</v>
      </c>
      <c r="I28" s="17">
        <f>(G28-F28+E28-C28)/C28</f>
        <v>-0.926507790022257</v>
      </c>
      <c r="J28" s="17">
        <f>AVERAGE(K25:K28)</f>
        <v>-0.884307225164324</v>
      </c>
      <c r="K28" s="17">
        <f>('Cashflow'!D28-'Cashflow'!C28)/'Cashflow'!C28</f>
        <v>-0.799650491230313</v>
      </c>
    </row>
    <row r="29" ht="20.05" customHeight="1">
      <c r="B29" s="32"/>
      <c r="C29" s="18">
        <f>17275-C28</f>
        <v>8064.5</v>
      </c>
      <c r="D29" s="19">
        <v>9763.129999999999</v>
      </c>
      <c r="E29" s="34">
        <f>434-E28</f>
        <v>221.6</v>
      </c>
      <c r="F29" s="34">
        <f>135-F28</f>
        <v>-30.9</v>
      </c>
      <c r="G29" s="34">
        <f>1160-G28</f>
        <v>529.6</v>
      </c>
      <c r="H29" s="17">
        <f>C29/C28-1</f>
        <v>-0.12442321263775</v>
      </c>
      <c r="I29" s="17">
        <f>(G29-F29+E29-C29)/C29</f>
        <v>-0.903019406038812</v>
      </c>
      <c r="J29" s="17">
        <f>AVERAGE(K26:K29)</f>
        <v>-0.874486174976828</v>
      </c>
      <c r="K29" s="17">
        <f>('Cashflow'!D29-'Cashflow'!C29)/'Cashflow'!C29</f>
        <v>-0.934355966614031</v>
      </c>
    </row>
    <row r="30" ht="20.05" customHeight="1">
      <c r="B30" s="32"/>
      <c r="C30" s="18">
        <f>26476.3-SUM(C28:C29)</f>
        <v>9201.299999999999</v>
      </c>
      <c r="D30" s="15">
        <v>8467.725</v>
      </c>
      <c r="E30" s="19">
        <f>663.4-SUM(E28:E29)</f>
        <v>229.4</v>
      </c>
      <c r="F30" s="19">
        <f>50.9-SUM(F28:F29)</f>
        <v>-84.09999999999999</v>
      </c>
      <c r="G30" s="19">
        <f>1710.5-SUM(G28:G29)</f>
        <v>550.5</v>
      </c>
      <c r="H30" s="17">
        <f>C30/C29-1</f>
        <v>0.140963481926964</v>
      </c>
      <c r="I30" s="17">
        <f>(G30-F30+E30-C30)/C30</f>
        <v>-0.906100224968211</v>
      </c>
      <c r="J30" s="17">
        <f>AVERAGE(K27:K30)</f>
        <v>-0.8504236047843839</v>
      </c>
      <c r="K30" s="17">
        <f>('Cashflow'!D30-'Cashflow'!C30)/'Cashflow'!C30</f>
        <v>-0.7896580775079109</v>
      </c>
    </row>
    <row r="31" ht="20.05" customHeight="1">
      <c r="B31" s="32"/>
      <c r="C31" s="18"/>
      <c r="D31" s="19">
        <f>'Model'!C6</f>
        <v>10581.495</v>
      </c>
      <c r="E31" s="22"/>
      <c r="F31" s="22"/>
      <c r="G31" s="22"/>
      <c r="H31" s="13"/>
      <c r="I31" s="17">
        <f>'Model'!C7</f>
        <v>-0.906100224968211</v>
      </c>
      <c r="J31" s="13"/>
      <c r="K31" s="13"/>
    </row>
    <row r="32" ht="20.05" customHeight="1">
      <c r="B32" s="33">
        <v>2022</v>
      </c>
      <c r="C32" s="18"/>
      <c r="D32" s="19">
        <f>'Model'!D6</f>
        <v>10264.05015</v>
      </c>
      <c r="E32" s="22"/>
      <c r="F32" s="22"/>
      <c r="G32" s="22"/>
      <c r="H32" s="13"/>
      <c r="I32" s="23"/>
      <c r="J32" s="13"/>
      <c r="K32" s="13"/>
    </row>
    <row r="33" ht="20.05" customHeight="1">
      <c r="B33" s="32"/>
      <c r="C33" s="18"/>
      <c r="D33" s="19">
        <f>'Model'!E6</f>
        <v>10469.331153</v>
      </c>
      <c r="E33" s="22"/>
      <c r="F33" s="22"/>
      <c r="G33" s="22"/>
      <c r="H33" s="13"/>
      <c r="I33" s="13"/>
      <c r="J33" s="13"/>
      <c r="K33" s="13"/>
    </row>
    <row r="34" ht="20.05" customHeight="1">
      <c r="B34" s="32"/>
      <c r="C34" s="18"/>
      <c r="D34" s="19">
        <f>'Model'!F6</f>
        <v>10992.79771065</v>
      </c>
      <c r="E34" s="22"/>
      <c r="F34" s="22"/>
      <c r="G34" s="22"/>
      <c r="H34" s="13"/>
      <c r="I34" s="13"/>
      <c r="J34" s="13"/>
      <c r="K34" s="1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6406" style="35" customWidth="1"/>
    <col min="2" max="2" width="8.69531" style="35" customWidth="1"/>
    <col min="3" max="11" width="11.3203" style="35" customWidth="1"/>
    <col min="12" max="16384" width="16.3516" style="35" customWidth="1"/>
  </cols>
  <sheetData>
    <row r="1" ht="12.2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11</v>
      </c>
      <c r="H3" t="s" s="4">
        <v>12</v>
      </c>
      <c r="I3" t="s" s="4">
        <v>51</v>
      </c>
      <c r="J3" t="s" s="4">
        <v>3</v>
      </c>
      <c r="K3" t="s" s="4">
        <v>29</v>
      </c>
    </row>
    <row r="4" ht="20.25" customHeight="1">
      <c r="B4" s="27">
        <v>2015</v>
      </c>
      <c r="C4" s="28">
        <v>3193</v>
      </c>
      <c r="D4" s="30">
        <v>-304.488</v>
      </c>
      <c r="E4" s="30">
        <v>-254.566</v>
      </c>
      <c r="F4" s="30"/>
      <c r="G4" s="30">
        <v>775.963</v>
      </c>
      <c r="H4" s="30"/>
      <c r="I4" s="30">
        <f>D4+E4</f>
        <v>-559.054</v>
      </c>
      <c r="J4" s="29"/>
      <c r="K4" s="30">
        <f>-G4</f>
        <v>-775.963</v>
      </c>
    </row>
    <row r="5" ht="20.05" customHeight="1">
      <c r="B5" s="32"/>
      <c r="C5" s="18">
        <v>4139</v>
      </c>
      <c r="D5" s="19">
        <v>-509.276</v>
      </c>
      <c r="E5" s="19">
        <v>-325.076</v>
      </c>
      <c r="F5" s="19"/>
      <c r="G5" s="19">
        <v>-93.655</v>
      </c>
      <c r="H5" s="19"/>
      <c r="I5" s="19">
        <f>D5+E5</f>
        <v>-834.352</v>
      </c>
      <c r="J5" s="22"/>
      <c r="K5" s="19">
        <f>-(G5+H5)+K4</f>
        <v>-682.308</v>
      </c>
    </row>
    <row r="6" ht="20.05" customHeight="1">
      <c r="B6" s="32"/>
      <c r="C6" s="18">
        <v>2086</v>
      </c>
      <c r="D6" s="19">
        <v>1075.526</v>
      </c>
      <c r="E6" s="19">
        <v>-397.956</v>
      </c>
      <c r="F6" s="19"/>
      <c r="G6" s="19">
        <v>-39.138</v>
      </c>
      <c r="H6" s="19"/>
      <c r="I6" s="19">
        <f>D6+E6</f>
        <v>677.5700000000001</v>
      </c>
      <c r="J6" s="22"/>
      <c r="K6" s="19">
        <f>-(G6+H6)+K5</f>
        <v>-643.17</v>
      </c>
    </row>
    <row r="7" ht="20.05" customHeight="1">
      <c r="B7" s="32"/>
      <c r="C7" s="18">
        <v>1681</v>
      </c>
      <c r="D7" s="19">
        <v>227.143</v>
      </c>
      <c r="E7" s="19">
        <v>-1126.287</v>
      </c>
      <c r="F7" s="19"/>
      <c r="G7" s="19">
        <v>6244.206</v>
      </c>
      <c r="H7" s="19"/>
      <c r="I7" s="19">
        <f>D7+E7</f>
        <v>-899.144</v>
      </c>
      <c r="J7" s="22"/>
      <c r="K7" s="19">
        <f>-(G7+H7)+K6</f>
        <v>-6887.376</v>
      </c>
    </row>
    <row r="8" ht="20.05" customHeight="1">
      <c r="B8" s="33">
        <v>2016</v>
      </c>
      <c r="C8" s="18">
        <v>2176</v>
      </c>
      <c r="D8" s="19">
        <v>2.735</v>
      </c>
      <c r="E8" s="19">
        <v>-166.639</v>
      </c>
      <c r="F8" s="19"/>
      <c r="G8" s="19">
        <v>-19.822</v>
      </c>
      <c r="H8" s="19"/>
      <c r="I8" s="19">
        <f>D8+E8</f>
        <v>-163.904</v>
      </c>
      <c r="J8" s="19">
        <f>AVERAGE(I5:I8)</f>
        <v>-304.9575</v>
      </c>
      <c r="K8" s="19">
        <f>-(G8+H8)+K7</f>
        <v>-6867.554</v>
      </c>
    </row>
    <row r="9" ht="20.05" customHeight="1">
      <c r="B9" s="32"/>
      <c r="C9" s="18">
        <v>1942</v>
      </c>
      <c r="D9" s="19">
        <v>520.986</v>
      </c>
      <c r="E9" s="19">
        <v>-885.917</v>
      </c>
      <c r="F9" s="19"/>
      <c r="G9" s="19">
        <v>270.25</v>
      </c>
      <c r="H9" s="19"/>
      <c r="I9" s="19">
        <f>D9+E9</f>
        <v>-364.931</v>
      </c>
      <c r="J9" s="19">
        <f>AVERAGE(I6:I9)</f>
        <v>-187.60225</v>
      </c>
      <c r="K9" s="19">
        <f>-(G9+H9)+K8</f>
        <v>-7137.804</v>
      </c>
    </row>
    <row r="10" ht="20.05" customHeight="1">
      <c r="B10" s="32"/>
      <c r="C10" s="18">
        <v>2421</v>
      </c>
      <c r="D10" s="19">
        <v>181.7</v>
      </c>
      <c r="E10" s="19">
        <v>-146.917</v>
      </c>
      <c r="F10" s="19"/>
      <c r="G10" s="19">
        <v>-50.106</v>
      </c>
      <c r="H10" s="19"/>
      <c r="I10" s="19">
        <f>D10+E10</f>
        <v>34.783</v>
      </c>
      <c r="J10" s="19">
        <f>AVERAGE(I7:I10)</f>
        <v>-348.299</v>
      </c>
      <c r="K10" s="19">
        <f>-(G10+H10)+K9</f>
        <v>-7087.698</v>
      </c>
    </row>
    <row r="11" ht="20.05" customHeight="1">
      <c r="B11" s="32"/>
      <c r="C11" s="18">
        <v>2302</v>
      </c>
      <c r="D11" s="19">
        <v>309.971</v>
      </c>
      <c r="E11" s="19">
        <v>-182.573</v>
      </c>
      <c r="F11" s="19"/>
      <c r="G11" s="19">
        <v>-227.162</v>
      </c>
      <c r="H11" s="19"/>
      <c r="I11" s="19">
        <f>D11+E11</f>
        <v>127.398</v>
      </c>
      <c r="J11" s="19">
        <f>AVERAGE(I8:I11)</f>
        <v>-91.6635</v>
      </c>
      <c r="K11" s="19">
        <f>-(G11+H11)+K10</f>
        <v>-6860.536</v>
      </c>
    </row>
    <row r="12" ht="20.05" customHeight="1">
      <c r="B12" s="33">
        <v>2017</v>
      </c>
      <c r="C12" s="18">
        <v>2011</v>
      </c>
      <c r="D12" s="19">
        <v>157.546</v>
      </c>
      <c r="E12" s="19">
        <v>-573.715</v>
      </c>
      <c r="F12" s="19"/>
      <c r="G12" s="19">
        <v>-45.176</v>
      </c>
      <c r="H12" s="19"/>
      <c r="I12" s="19">
        <f>D12+E12</f>
        <v>-416.169</v>
      </c>
      <c r="J12" s="19">
        <f>AVERAGE(I9:I12)</f>
        <v>-154.72975</v>
      </c>
      <c r="K12" s="19">
        <f>-(G12+H12)+K11</f>
        <v>-6815.36</v>
      </c>
    </row>
    <row r="13" ht="20.05" customHeight="1">
      <c r="B13" s="32"/>
      <c r="C13" s="18">
        <v>1450</v>
      </c>
      <c r="D13" s="19">
        <v>-642.807</v>
      </c>
      <c r="E13" s="19">
        <v>67.20399999999999</v>
      </c>
      <c r="F13" s="19"/>
      <c r="G13" s="19">
        <v>-193.219</v>
      </c>
      <c r="H13" s="19"/>
      <c r="I13" s="19">
        <f>D13+E13</f>
        <v>-575.603</v>
      </c>
      <c r="J13" s="19">
        <f>AVERAGE(I10:I13)</f>
        <v>-207.39775</v>
      </c>
      <c r="K13" s="19">
        <f>-(G13+H13)+K12</f>
        <v>-6622.141</v>
      </c>
    </row>
    <row r="14" ht="20.05" customHeight="1">
      <c r="B14" s="32"/>
      <c r="C14" s="18">
        <v>3737</v>
      </c>
      <c r="D14" s="19">
        <v>965.889</v>
      </c>
      <c r="E14" s="19">
        <v>-962.699</v>
      </c>
      <c r="F14" s="19"/>
      <c r="G14" s="19">
        <v>615.971</v>
      </c>
      <c r="H14" s="19"/>
      <c r="I14" s="19">
        <f>D14+E14</f>
        <v>3.19</v>
      </c>
      <c r="J14" s="19">
        <f>AVERAGE(I11:I14)</f>
        <v>-215.296</v>
      </c>
      <c r="K14" s="19">
        <f>-(G14+H14)+K13</f>
        <v>-7238.112</v>
      </c>
    </row>
    <row r="15" ht="20.05" customHeight="1">
      <c r="B15" s="32"/>
      <c r="C15" s="18">
        <v>5041</v>
      </c>
      <c r="D15" s="19">
        <v>898.548</v>
      </c>
      <c r="E15" s="19">
        <v>-1421.351</v>
      </c>
      <c r="F15" s="19"/>
      <c r="G15" s="19">
        <v>-945.934</v>
      </c>
      <c r="H15" s="19"/>
      <c r="I15" s="19">
        <f>D15+E15</f>
        <v>-522.803</v>
      </c>
      <c r="J15" s="19">
        <f>AVERAGE(I12:I15)</f>
        <v>-377.84625</v>
      </c>
      <c r="K15" s="19">
        <f>-(G15+H15)+K14</f>
        <v>-6292.178</v>
      </c>
    </row>
    <row r="16" ht="20.05" customHeight="1">
      <c r="B16" s="33">
        <v>2018</v>
      </c>
      <c r="C16" s="18">
        <v>5988</v>
      </c>
      <c r="D16" s="19">
        <v>50.974</v>
      </c>
      <c r="E16" s="19">
        <v>-355.726</v>
      </c>
      <c r="F16" s="19"/>
      <c r="G16" s="19">
        <v>816.59</v>
      </c>
      <c r="H16" s="19"/>
      <c r="I16" s="19">
        <f>D16+E16</f>
        <v>-304.752</v>
      </c>
      <c r="J16" s="19">
        <f>AVERAGE(I13:I16)</f>
        <v>-349.992</v>
      </c>
      <c r="K16" s="19">
        <f>-(G16+H16)+K15</f>
        <v>-7108.768</v>
      </c>
    </row>
    <row r="17" ht="20.05" customHeight="1">
      <c r="B17" s="32"/>
      <c r="C17" s="18">
        <v>5548</v>
      </c>
      <c r="D17" s="19">
        <v>-95.911</v>
      </c>
      <c r="E17" s="19">
        <v>-570.823</v>
      </c>
      <c r="F17" s="19"/>
      <c r="G17" s="19">
        <v>-382.674</v>
      </c>
      <c r="H17" s="19"/>
      <c r="I17" s="19">
        <f>D17+E17</f>
        <v>-666.734</v>
      </c>
      <c r="J17" s="19">
        <f>AVERAGE(I14:I17)</f>
        <v>-372.77475</v>
      </c>
      <c r="K17" s="19">
        <f>-(G17+H17)+K16</f>
        <v>-6726.094</v>
      </c>
    </row>
    <row r="18" ht="20.05" customHeight="1">
      <c r="B18" s="32"/>
      <c r="C18" s="18">
        <v>8239</v>
      </c>
      <c r="D18" s="19">
        <v>1237.63</v>
      </c>
      <c r="E18" s="19">
        <v>-420.428</v>
      </c>
      <c r="F18" s="19"/>
      <c r="G18" s="19">
        <v>-106.703</v>
      </c>
      <c r="H18" s="19"/>
      <c r="I18" s="19">
        <f>D18+E18</f>
        <v>817.202</v>
      </c>
      <c r="J18" s="19">
        <f>AVERAGE(I15:I18)</f>
        <v>-169.27175</v>
      </c>
      <c r="K18" s="19">
        <f>-(G18+H18)+K17</f>
        <v>-6619.391</v>
      </c>
    </row>
    <row r="19" ht="20.05" customHeight="1">
      <c r="B19" s="32"/>
      <c r="C19" s="18">
        <v>5772</v>
      </c>
      <c r="D19" s="19">
        <v>682.307</v>
      </c>
      <c r="E19" s="19">
        <v>-1247.023</v>
      </c>
      <c r="F19" s="19"/>
      <c r="G19" s="19">
        <v>-946.213</v>
      </c>
      <c r="H19" s="19"/>
      <c r="I19" s="19">
        <f>D19+E19</f>
        <v>-564.716</v>
      </c>
      <c r="J19" s="19">
        <f>AVERAGE(I16:I19)</f>
        <v>-179.75</v>
      </c>
      <c r="K19" s="19">
        <f>-(G19+H19)+K18</f>
        <v>-5673.178</v>
      </c>
    </row>
    <row r="20" ht="20.05" customHeight="1">
      <c r="B20" s="33">
        <v>2019</v>
      </c>
      <c r="C20" s="18">
        <v>5643</v>
      </c>
      <c r="D20" s="19">
        <v>-933</v>
      </c>
      <c r="E20" s="19">
        <v>-428</v>
      </c>
      <c r="F20" s="19"/>
      <c r="G20" s="19">
        <v>579</v>
      </c>
      <c r="H20" s="19"/>
      <c r="I20" s="19">
        <f>D20+E20</f>
        <v>-1361</v>
      </c>
      <c r="J20" s="19">
        <f>AVERAGE(I17:I20)</f>
        <v>-443.812</v>
      </c>
      <c r="K20" s="19">
        <f>-(G20+H20)+K19</f>
        <v>-6252.178</v>
      </c>
    </row>
    <row r="21" ht="20.05" customHeight="1">
      <c r="B21" s="32"/>
      <c r="C21" s="18">
        <v>8368</v>
      </c>
      <c r="D21" s="19">
        <v>51</v>
      </c>
      <c r="E21" s="19">
        <v>-89</v>
      </c>
      <c r="F21" s="19"/>
      <c r="G21" s="19">
        <v>46</v>
      </c>
      <c r="H21" s="19"/>
      <c r="I21" s="19">
        <f>D21+E21</f>
        <v>-38</v>
      </c>
      <c r="J21" s="19">
        <f>AVERAGE(I18:I21)</f>
        <v>-286.6285</v>
      </c>
      <c r="K21" s="19">
        <f>-(G21+H21)+K20</f>
        <v>-6298.178</v>
      </c>
    </row>
    <row r="22" ht="20.05" customHeight="1">
      <c r="B22" s="32"/>
      <c r="C22" s="18">
        <v>10296</v>
      </c>
      <c r="D22" s="19">
        <v>630</v>
      </c>
      <c r="E22" s="19">
        <v>139</v>
      </c>
      <c r="F22" s="19"/>
      <c r="G22" s="19">
        <v>-828</v>
      </c>
      <c r="H22" s="19"/>
      <c r="I22" s="19">
        <f>D22+E22</f>
        <v>769</v>
      </c>
      <c r="J22" s="19">
        <f>AVERAGE(I19:I22)</f>
        <v>-298.679</v>
      </c>
      <c r="K22" s="19">
        <f>-(G22+H22)+K21</f>
        <v>-5470.178</v>
      </c>
    </row>
    <row r="23" ht="20.05" customHeight="1">
      <c r="B23" s="32"/>
      <c r="C23" s="18">
        <v>8195</v>
      </c>
      <c r="D23" s="19">
        <v>1885.8</v>
      </c>
      <c r="E23" s="19">
        <v>-507.3</v>
      </c>
      <c r="F23" s="19"/>
      <c r="G23" s="19">
        <v>-1160</v>
      </c>
      <c r="H23" s="19"/>
      <c r="I23" s="19">
        <f>D23+E23</f>
        <v>1378.5</v>
      </c>
      <c r="J23" s="19">
        <f>AVERAGE(I20:I23)</f>
        <v>187.125</v>
      </c>
      <c r="K23" s="19">
        <f>-(G23+H23)+K22</f>
        <v>-4310.178</v>
      </c>
    </row>
    <row r="24" ht="20.05" customHeight="1">
      <c r="B24" s="33">
        <v>2020</v>
      </c>
      <c r="C24" s="18">
        <v>5633</v>
      </c>
      <c r="D24" s="19">
        <v>18.9</v>
      </c>
      <c r="E24" s="19">
        <v>-126.37</v>
      </c>
      <c r="F24" s="19"/>
      <c r="G24" s="19">
        <v>-438.65</v>
      </c>
      <c r="H24" s="19"/>
      <c r="I24" s="19">
        <f>D24+E24</f>
        <v>-107.47</v>
      </c>
      <c r="J24" s="19">
        <f>AVERAGE(I21:I24)</f>
        <v>500.5075</v>
      </c>
      <c r="K24" s="19">
        <f>-(G24+H24)+K23</f>
        <v>-3871.528</v>
      </c>
    </row>
    <row r="25" ht="20.05" customHeight="1">
      <c r="B25" s="32"/>
      <c r="C25" s="18">
        <v>4063</v>
      </c>
      <c r="D25" s="19">
        <v>107.1</v>
      </c>
      <c r="E25" s="19">
        <v>-33.63</v>
      </c>
      <c r="F25" s="19"/>
      <c r="G25" s="19">
        <v>-105.35</v>
      </c>
      <c r="H25" s="19"/>
      <c r="I25" s="19">
        <f>D25+E25</f>
        <v>73.47</v>
      </c>
      <c r="J25" s="19">
        <f>AVERAGE(I22:I25)</f>
        <v>528.375</v>
      </c>
      <c r="K25" s="19">
        <f>-(G25+H25)+K24</f>
        <v>-3766.178</v>
      </c>
    </row>
    <row r="26" ht="20.05" customHeight="1">
      <c r="B26" s="32"/>
      <c r="C26" s="18">
        <f>18382-SUM(C24:C25)</f>
        <v>8686</v>
      </c>
      <c r="D26" s="19">
        <f>1117-SUM(D24:D25)</f>
        <v>991</v>
      </c>
      <c r="E26" s="19">
        <f>-375-SUM(E24:E25)</f>
        <v>-215</v>
      </c>
      <c r="F26" s="19"/>
      <c r="G26" s="19">
        <f>-685-SUM(G24:G25)</f>
        <v>-141</v>
      </c>
      <c r="H26" s="19"/>
      <c r="I26" s="19">
        <f>D26+E26</f>
        <v>776</v>
      </c>
      <c r="J26" s="19">
        <f>AVERAGE(I23:I26)</f>
        <v>530.125</v>
      </c>
      <c r="K26" s="19">
        <f>-(G26+H26)+K25</f>
        <v>-3625.178</v>
      </c>
    </row>
    <row r="27" ht="20.05" customHeight="1">
      <c r="B27" s="32"/>
      <c r="C27" s="18">
        <v>9035</v>
      </c>
      <c r="D27" s="19">
        <v>1102</v>
      </c>
      <c r="E27" s="19">
        <v>-192</v>
      </c>
      <c r="F27" s="19"/>
      <c r="G27" s="19">
        <v>-533</v>
      </c>
      <c r="H27" s="19"/>
      <c r="I27" s="19">
        <f>D27+E27</f>
        <v>910</v>
      </c>
      <c r="J27" s="19">
        <f>AVERAGE(I24:I27)</f>
        <v>413</v>
      </c>
      <c r="K27" s="19">
        <f>-(G27+H27)+K26</f>
        <v>-3092.178</v>
      </c>
    </row>
    <row r="28" ht="20.05" customHeight="1">
      <c r="B28" s="33">
        <v>2021</v>
      </c>
      <c r="C28" s="18">
        <v>9384.6</v>
      </c>
      <c r="D28" s="19">
        <v>1880.2</v>
      </c>
      <c r="E28" s="19">
        <v>-104.2</v>
      </c>
      <c r="F28" s="19">
        <v>-18</v>
      </c>
      <c r="G28" s="19">
        <f>-511.5-F28</f>
        <v>-493.5</v>
      </c>
      <c r="H28" s="19">
        <v>0</v>
      </c>
      <c r="I28" s="19">
        <f>D28+E28+F28</f>
        <v>1758</v>
      </c>
      <c r="J28" s="19">
        <f>AVERAGE(I25:I28)</f>
        <v>879.3674999999999</v>
      </c>
      <c r="K28" s="19">
        <f>-(G28+H28)+K27</f>
        <v>-2598.678</v>
      </c>
    </row>
    <row r="29" ht="20.05" customHeight="1">
      <c r="B29" s="32"/>
      <c r="C29" s="18">
        <f>17364-C28</f>
        <v>7979.4</v>
      </c>
      <c r="D29" s="19">
        <f>2404-D28</f>
        <v>523.8</v>
      </c>
      <c r="E29" s="19">
        <f>-288.6-E28</f>
        <v>-184.4</v>
      </c>
      <c r="F29" s="19">
        <f>-14.6-F28</f>
        <v>3.4</v>
      </c>
      <c r="G29" s="19">
        <f>-1046-F29-F28-H29-G28</f>
        <v>-135.6</v>
      </c>
      <c r="H29" s="19">
        <v>-402.3</v>
      </c>
      <c r="I29" s="34">
        <f>D29+E29+F29</f>
        <v>342.8</v>
      </c>
      <c r="J29" s="19">
        <f>AVERAGE(I26:I29)</f>
        <v>946.7</v>
      </c>
      <c r="K29" s="19">
        <f>-(G29+H29)+K28</f>
        <v>-2060.778</v>
      </c>
    </row>
    <row r="30" ht="20.05" customHeight="1">
      <c r="B30" s="32"/>
      <c r="C30" s="18">
        <f>27097.2-SUM(C28:C29)</f>
        <v>9733.200000000001</v>
      </c>
      <c r="D30" s="19">
        <f>4451.3-SUM(D28:D29)</f>
        <v>2047.3</v>
      </c>
      <c r="E30" s="19">
        <f>-581.9-SUM(E28:E29)</f>
        <v>-293.3</v>
      </c>
      <c r="F30" s="19">
        <f>-22.6-SUM(F28:F29)</f>
        <v>-8</v>
      </c>
      <c r="G30" s="19">
        <f>-1507.9-H30-H29-H28-G29-G28-F30-F29-F28</f>
        <v>-453.9</v>
      </c>
      <c r="H30" s="22">
        <f>-402.3-SUM(H28:H29)</f>
        <v>0</v>
      </c>
      <c r="I30" s="19">
        <f>D30+E30+F30</f>
        <v>1746</v>
      </c>
      <c r="J30" s="19">
        <f>AVERAGE(I27:I30)</f>
        <v>1189.2</v>
      </c>
      <c r="K30" s="19">
        <f>-(G30+H30)+K29</f>
        <v>-1606.878</v>
      </c>
    </row>
    <row r="31" ht="20.05" customHeight="1">
      <c r="B31" s="32"/>
      <c r="C31" s="18"/>
      <c r="D31" s="19"/>
      <c r="E31" s="23"/>
      <c r="F31" s="19"/>
      <c r="G31" s="19"/>
      <c r="H31" s="22"/>
      <c r="I31" s="22"/>
      <c r="J31" s="19">
        <f>SUM('Model'!F9:F10)</f>
        <v>838.2545653333329</v>
      </c>
      <c r="K31" s="19">
        <f>'Model'!F32</f>
        <v>1589.936405333330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09375" style="36" customWidth="1"/>
    <col min="2" max="2" width="6.97656" style="36" customWidth="1"/>
    <col min="3" max="11" width="10.1953" style="36" customWidth="1"/>
    <col min="12" max="16384" width="16.3516" style="36" customWidth="1"/>
  </cols>
  <sheetData>
    <row r="1" ht="27.65" customHeight="1">
      <c r="B1" t="s" s="2">
        <v>21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4">
        <v>1</v>
      </c>
      <c r="C2" t="s" s="4">
        <v>52</v>
      </c>
      <c r="D2" t="s" s="4">
        <v>53</v>
      </c>
      <c r="E2" t="s" s="4">
        <v>22</v>
      </c>
      <c r="F2" t="s" s="4">
        <v>23</v>
      </c>
      <c r="G2" t="s" s="4">
        <v>11</v>
      </c>
      <c r="H2" t="s" s="4">
        <v>25</v>
      </c>
      <c r="I2" t="s" s="4">
        <v>54</v>
      </c>
      <c r="J2" t="s" s="4">
        <v>27</v>
      </c>
      <c r="K2" t="s" s="4">
        <v>34</v>
      </c>
    </row>
    <row r="3" ht="20.25" customHeight="1">
      <c r="B3" s="27">
        <v>2015</v>
      </c>
      <c r="C3" s="28">
        <v>2926.307</v>
      </c>
      <c r="D3" s="30">
        <v>22842.722</v>
      </c>
      <c r="E3" s="30">
        <f>D3-C3</f>
        <v>19916.415</v>
      </c>
      <c r="F3" s="30">
        <v>5820</v>
      </c>
      <c r="G3" s="30">
        <v>11153</v>
      </c>
      <c r="H3" s="30">
        <v>11690</v>
      </c>
      <c r="I3" s="30">
        <f>G3+H3-C3-E3</f>
        <v>0.278</v>
      </c>
      <c r="J3" s="30">
        <f>C3-G3</f>
        <v>-8226.692999999999</v>
      </c>
      <c r="K3" s="30"/>
    </row>
    <row r="4" ht="20.05" customHeight="1">
      <c r="B4" s="32"/>
      <c r="C4" s="18">
        <v>2034.694</v>
      </c>
      <c r="D4" s="19">
        <v>22550.591</v>
      </c>
      <c r="E4" s="19">
        <f>D4-C4</f>
        <v>20515.897</v>
      </c>
      <c r="F4" s="19">
        <v>5960</v>
      </c>
      <c r="G4" s="19">
        <v>10975</v>
      </c>
      <c r="H4" s="19">
        <v>11575</v>
      </c>
      <c r="I4" s="19">
        <f>G4+H4-C4-E4</f>
        <v>-0.591</v>
      </c>
      <c r="J4" s="19">
        <f>C4-G4</f>
        <v>-8940.306</v>
      </c>
      <c r="K4" s="19"/>
    </row>
    <row r="5" ht="20.05" customHeight="1">
      <c r="B5" s="32"/>
      <c r="C5" s="18">
        <v>2865.438</v>
      </c>
      <c r="D5" s="19">
        <v>24785.505</v>
      </c>
      <c r="E5" s="19">
        <f>D5-C5</f>
        <v>21920.067</v>
      </c>
      <c r="F5" s="19">
        <v>6135</v>
      </c>
      <c r="G5" s="19">
        <v>11296</v>
      </c>
      <c r="H5" s="19">
        <v>13490</v>
      </c>
      <c r="I5" s="19">
        <f>G5+H5-C5-E5</f>
        <v>0.495</v>
      </c>
      <c r="J5" s="19">
        <f>C5-G5</f>
        <v>-8430.562</v>
      </c>
      <c r="K5" s="19"/>
    </row>
    <row r="6" ht="20.05" customHeight="1">
      <c r="B6" s="32"/>
      <c r="C6" s="18">
        <v>8086.634</v>
      </c>
      <c r="D6" s="19">
        <v>30356.851</v>
      </c>
      <c r="E6" s="19">
        <f>D6-C6</f>
        <v>22270.217</v>
      </c>
      <c r="F6" s="19">
        <v>6293</v>
      </c>
      <c r="G6" s="19">
        <v>12040</v>
      </c>
      <c r="H6" s="19">
        <v>18317</v>
      </c>
      <c r="I6" s="19">
        <f>G6+H6-C6-E6</f>
        <v>0.149</v>
      </c>
      <c r="J6" s="19">
        <f>C6-G6</f>
        <v>-3953.366</v>
      </c>
      <c r="K6" s="19"/>
    </row>
    <row r="7" ht="20.05" customHeight="1">
      <c r="B7" s="33">
        <v>2016</v>
      </c>
      <c r="C7" s="18">
        <v>7821.189</v>
      </c>
      <c r="D7" s="19">
        <v>29849.031</v>
      </c>
      <c r="E7" s="19">
        <f>D7-C7</f>
        <v>22027.842</v>
      </c>
      <c r="F7" s="19">
        <v>6465</v>
      </c>
      <c r="G7" s="19">
        <v>11523</v>
      </c>
      <c r="H7" s="19">
        <v>18326</v>
      </c>
      <c r="I7" s="19">
        <f>G7+H7-C7-E7</f>
        <v>-0.031</v>
      </c>
      <c r="J7" s="19">
        <f>C7-G7</f>
        <v>-3701.811</v>
      </c>
      <c r="K7" s="19"/>
    </row>
    <row r="8" ht="20.05" customHeight="1">
      <c r="B8" s="32"/>
      <c r="C8" s="18">
        <v>7718.607</v>
      </c>
      <c r="D8" s="19">
        <v>29689.978</v>
      </c>
      <c r="E8" s="19">
        <f>D8-C8</f>
        <v>21971.371</v>
      </c>
      <c r="F8" s="19">
        <v>6604</v>
      </c>
      <c r="G8" s="19">
        <v>11375</v>
      </c>
      <c r="H8" s="19">
        <v>18315</v>
      </c>
      <c r="I8" s="19">
        <f>G8+H8-C8-E8</f>
        <v>0.022</v>
      </c>
      <c r="J8" s="19">
        <f>C8-G8</f>
        <v>-3656.393</v>
      </c>
      <c r="K8" s="19"/>
    </row>
    <row r="9" ht="20.05" customHeight="1">
      <c r="B9" s="32"/>
      <c r="C9" s="18">
        <v>7685.116</v>
      </c>
      <c r="D9" s="19">
        <v>29665.445</v>
      </c>
      <c r="E9" s="19">
        <f>D9-C9</f>
        <v>21980.329</v>
      </c>
      <c r="F9" s="19">
        <v>6748</v>
      </c>
      <c r="G9" s="19">
        <v>11328</v>
      </c>
      <c r="H9" s="19">
        <v>18337</v>
      </c>
      <c r="I9" s="19">
        <f>G9+H9-C9-E9</f>
        <v>-0.445</v>
      </c>
      <c r="J9" s="19">
        <f>C9-G9</f>
        <v>-3642.884</v>
      </c>
      <c r="K9" s="19"/>
    </row>
    <row r="10" ht="20.05" customHeight="1">
      <c r="B10" s="32"/>
      <c r="C10" s="18">
        <v>7623.385</v>
      </c>
      <c r="D10" s="19">
        <v>29981.535</v>
      </c>
      <c r="E10" s="19">
        <f>D10-C10</f>
        <v>22358.15</v>
      </c>
      <c r="F10" s="19">
        <v>6900</v>
      </c>
      <c r="G10" s="19">
        <v>11572</v>
      </c>
      <c r="H10" s="19">
        <v>18409</v>
      </c>
      <c r="I10" s="19">
        <f>G10+H10-C10-E10</f>
        <v>-0.535</v>
      </c>
      <c r="J10" s="19">
        <f>C10-G10</f>
        <v>-3948.615</v>
      </c>
      <c r="K10" s="19"/>
    </row>
    <row r="11" ht="20.05" customHeight="1">
      <c r="B11" s="33">
        <v>2017</v>
      </c>
      <c r="C11" s="18">
        <v>7152.245</v>
      </c>
      <c r="D11" s="19">
        <v>30299.218</v>
      </c>
      <c r="E11" s="19">
        <f>D11-C11</f>
        <v>23146.973</v>
      </c>
      <c r="F11" s="19">
        <v>7065</v>
      </c>
      <c r="G11" s="19">
        <v>11889</v>
      </c>
      <c r="H11" s="19">
        <v>18410</v>
      </c>
      <c r="I11" s="19">
        <f>G11+H11-C11-E11</f>
        <v>-0.218</v>
      </c>
      <c r="J11" s="19">
        <f>C11-G11</f>
        <v>-4736.755</v>
      </c>
      <c r="K11" s="19"/>
    </row>
    <row r="12" ht="20.05" customHeight="1">
      <c r="B12" s="32"/>
      <c r="C12" s="18">
        <v>6381.741</v>
      </c>
      <c r="D12" s="19">
        <v>30247.148</v>
      </c>
      <c r="E12" s="19">
        <f>D12-C12</f>
        <v>23865.407</v>
      </c>
      <c r="F12" s="19">
        <v>7252</v>
      </c>
      <c r="G12" s="19">
        <v>12373</v>
      </c>
      <c r="H12" s="19">
        <v>17874</v>
      </c>
      <c r="I12" s="19">
        <f>G12+H12-C12-E12</f>
        <v>-0.148</v>
      </c>
      <c r="J12" s="19">
        <f>C12-G12</f>
        <v>-5991.259</v>
      </c>
      <c r="K12" s="19"/>
    </row>
    <row r="13" ht="20.05" customHeight="1">
      <c r="B13" s="32"/>
      <c r="C13" s="18">
        <v>7017.373</v>
      </c>
      <c r="D13" s="19">
        <v>30672.008</v>
      </c>
      <c r="E13" s="19">
        <f>D13-C13</f>
        <v>23654.635</v>
      </c>
      <c r="F13" s="19">
        <v>7485</v>
      </c>
      <c r="G13" s="19">
        <v>12641</v>
      </c>
      <c r="H13" s="19">
        <v>18031</v>
      </c>
      <c r="I13" s="19">
        <f>G13+H13-C13-E13</f>
        <v>-0.008</v>
      </c>
      <c r="J13" s="19">
        <f>C13-G13</f>
        <v>-5623.627</v>
      </c>
      <c r="K13" s="19"/>
    </row>
    <row r="14" ht="20.05" customHeight="1">
      <c r="B14" s="32"/>
      <c r="C14" s="18">
        <v>5550.677</v>
      </c>
      <c r="D14" s="19">
        <v>28798.636</v>
      </c>
      <c r="E14" s="19">
        <f>D14-C14</f>
        <v>23247.959</v>
      </c>
      <c r="F14" s="19">
        <v>7691</v>
      </c>
      <c r="G14" s="19">
        <v>11635.517</v>
      </c>
      <c r="H14" s="19">
        <v>17163.119</v>
      </c>
      <c r="I14" s="19">
        <f>G14+H14-C14-E14</f>
        <v>0</v>
      </c>
      <c r="J14" s="19">
        <f>C14-G14</f>
        <v>-6084.84</v>
      </c>
      <c r="K14" s="19"/>
    </row>
    <row r="15" ht="20.05" customHeight="1">
      <c r="B15" s="33">
        <v>2018</v>
      </c>
      <c r="C15" s="18">
        <v>6075.429</v>
      </c>
      <c r="D15" s="19">
        <v>31224.071</v>
      </c>
      <c r="E15" s="19">
        <f>D15-C15</f>
        <v>25148.642</v>
      </c>
      <c r="F15" s="19">
        <v>7881</v>
      </c>
      <c r="G15" s="19">
        <v>12496</v>
      </c>
      <c r="H15" s="19">
        <v>18728</v>
      </c>
      <c r="I15" s="19">
        <f>G15+H15-C15-E15</f>
        <v>-0.07099999999999999</v>
      </c>
      <c r="J15" s="19">
        <f>C15-G15</f>
        <v>-6420.571</v>
      </c>
      <c r="K15" s="19"/>
    </row>
    <row r="16" ht="20.05" customHeight="1">
      <c r="B16" s="32"/>
      <c r="C16" s="18">
        <v>5080.041</v>
      </c>
      <c r="D16" s="19">
        <v>31337.233</v>
      </c>
      <c r="E16" s="19">
        <f>D16-C16</f>
        <v>26257.192</v>
      </c>
      <c r="F16" s="19">
        <v>8097</v>
      </c>
      <c r="G16" s="19">
        <v>12487</v>
      </c>
      <c r="H16" s="19">
        <v>18850</v>
      </c>
      <c r="I16" s="19">
        <f>G16+H16-C16-E16</f>
        <v>-0.233</v>
      </c>
      <c r="J16" s="19">
        <f>C16-G16</f>
        <v>-7406.959</v>
      </c>
      <c r="K16" s="19"/>
    </row>
    <row r="17" ht="20.05" customHeight="1">
      <c r="B17" s="32"/>
      <c r="C17" s="18">
        <v>5806.46</v>
      </c>
      <c r="D17" s="19">
        <v>32846.365</v>
      </c>
      <c r="E17" s="19">
        <f>D17-C17</f>
        <v>27039.905</v>
      </c>
      <c r="F17" s="19">
        <v>8329</v>
      </c>
      <c r="G17" s="19">
        <v>13703</v>
      </c>
      <c r="H17" s="19">
        <v>19143</v>
      </c>
      <c r="I17" s="19">
        <f>G17+H17-C17-E17</f>
        <v>-0.365</v>
      </c>
      <c r="J17" s="19">
        <f>C17-G17</f>
        <v>-7896.54</v>
      </c>
      <c r="K17" s="19"/>
    </row>
    <row r="18" ht="20.05" customHeight="1">
      <c r="B18" s="32"/>
      <c r="C18" s="18">
        <v>4299</v>
      </c>
      <c r="D18" s="19">
        <v>32195</v>
      </c>
      <c r="E18" s="19">
        <f>D18-C18</f>
        <v>27896</v>
      </c>
      <c r="F18" s="19">
        <v>8480</v>
      </c>
      <c r="G18" s="19">
        <v>13747</v>
      </c>
      <c r="H18" s="19">
        <v>18448</v>
      </c>
      <c r="I18" s="19">
        <f>G18+H18-C18-E18</f>
        <v>0</v>
      </c>
      <c r="J18" s="19">
        <f>C18-G18</f>
        <v>-9448</v>
      </c>
      <c r="K18" s="19"/>
    </row>
    <row r="19" ht="20.05" customHeight="1">
      <c r="B19" s="33">
        <v>2019</v>
      </c>
      <c r="C19" s="18">
        <v>3495</v>
      </c>
      <c r="D19" s="19">
        <v>33600</v>
      </c>
      <c r="E19" s="19">
        <f>D19-C19</f>
        <v>30105</v>
      </c>
      <c r="F19" s="19">
        <v>8870</v>
      </c>
      <c r="G19" s="19">
        <v>13690</v>
      </c>
      <c r="H19" s="19">
        <v>19910</v>
      </c>
      <c r="I19" s="19">
        <f>G19+H19-C19-E19</f>
        <v>0</v>
      </c>
      <c r="J19" s="19">
        <f>C19-G19</f>
        <v>-10195</v>
      </c>
      <c r="K19" s="19"/>
    </row>
    <row r="20" ht="20.05" customHeight="1">
      <c r="B20" s="32"/>
      <c r="C20" s="18">
        <v>3515</v>
      </c>
      <c r="D20" s="19">
        <v>33567</v>
      </c>
      <c r="E20" s="19">
        <f>D20-C20</f>
        <v>30052</v>
      </c>
      <c r="F20" s="19">
        <v>9137</v>
      </c>
      <c r="G20" s="19">
        <v>13796</v>
      </c>
      <c r="H20" s="19">
        <v>19771</v>
      </c>
      <c r="I20" s="19">
        <f>G20+H20-C20-E20</f>
        <v>0</v>
      </c>
      <c r="J20" s="19">
        <f>C20-G20</f>
        <v>-10281</v>
      </c>
      <c r="K20" s="19"/>
    </row>
    <row r="21" ht="20.05" customHeight="1">
      <c r="B21" s="32"/>
      <c r="C21" s="18">
        <v>3463</v>
      </c>
      <c r="D21" s="19">
        <v>32655</v>
      </c>
      <c r="E21" s="19">
        <f>D21-C21</f>
        <v>29192</v>
      </c>
      <c r="F21" s="19">
        <v>9391</v>
      </c>
      <c r="G21" s="19">
        <v>12707</v>
      </c>
      <c r="H21" s="19">
        <v>19948</v>
      </c>
      <c r="I21" s="19">
        <f>G21+H21-C21-E21</f>
        <v>0</v>
      </c>
      <c r="J21" s="19">
        <f>C21-G21</f>
        <v>-9244</v>
      </c>
      <c r="K21" s="19"/>
    </row>
    <row r="22" ht="20.05" customHeight="1">
      <c r="B22" s="32"/>
      <c r="C22" s="18">
        <v>3636.2</v>
      </c>
      <c r="D22" s="19">
        <v>30195</v>
      </c>
      <c r="E22" s="19">
        <f>D22-C22</f>
        <v>26558.8</v>
      </c>
      <c r="F22" s="19">
        <f>9517+647</f>
        <v>10164</v>
      </c>
      <c r="G22" s="19">
        <v>12061</v>
      </c>
      <c r="H22" s="19">
        <v>18133</v>
      </c>
      <c r="I22" s="19">
        <f>G22+H22-C22-E22</f>
        <v>-1</v>
      </c>
      <c r="J22" s="19">
        <f>C22-G22</f>
        <v>-8424.799999999999</v>
      </c>
      <c r="K22" s="19"/>
    </row>
    <row r="23" ht="20.05" customHeight="1">
      <c r="B23" s="33">
        <v>2020</v>
      </c>
      <c r="C23" s="18">
        <v>3161</v>
      </c>
      <c r="D23" s="19">
        <v>30771</v>
      </c>
      <c r="E23" s="19">
        <f>D23-C23</f>
        <v>27610</v>
      </c>
      <c r="F23" s="19">
        <f>9792+659</f>
        <v>10451</v>
      </c>
      <c r="G23" s="19">
        <v>12746</v>
      </c>
      <c r="H23" s="19">
        <v>18025</v>
      </c>
      <c r="I23" s="19">
        <f>G23+H23-C23-E23</f>
        <v>0</v>
      </c>
      <c r="J23" s="19">
        <f>C23-G23</f>
        <v>-9585</v>
      </c>
      <c r="K23" s="19"/>
    </row>
    <row r="24" ht="20.05" customHeight="1">
      <c r="B24" s="32"/>
      <c r="C24" s="18">
        <v>3006</v>
      </c>
      <c r="D24" s="19">
        <v>30033</v>
      </c>
      <c r="E24" s="19">
        <f>D24-C24</f>
        <v>27027</v>
      </c>
      <c r="F24" s="19">
        <f>664+9986</f>
        <v>10650</v>
      </c>
      <c r="G24" s="19">
        <v>11929</v>
      </c>
      <c r="H24" s="19">
        <v>18104</v>
      </c>
      <c r="I24" s="19">
        <f>G24+H24-C24-E24</f>
        <v>0</v>
      </c>
      <c r="J24" s="19">
        <f>C24-G24</f>
        <v>-8923</v>
      </c>
      <c r="K24" s="19"/>
    </row>
    <row r="25" ht="20.05" customHeight="1">
      <c r="B25" s="32"/>
      <c r="C25" s="18">
        <v>3669</v>
      </c>
      <c r="D25" s="19">
        <v>30974</v>
      </c>
      <c r="E25" s="19">
        <f>D25-C25</f>
        <v>27305</v>
      </c>
      <c r="F25" s="19">
        <f>10240+672</f>
        <v>10912</v>
      </c>
      <c r="G25" s="19">
        <v>12045</v>
      </c>
      <c r="H25" s="19">
        <v>18929</v>
      </c>
      <c r="I25" s="19">
        <f>G25+H25-C25-E25</f>
        <v>0</v>
      </c>
      <c r="J25" s="19">
        <f>C25-G25</f>
        <v>-8376</v>
      </c>
      <c r="K25" s="19"/>
    </row>
    <row r="26" ht="20.05" customHeight="1">
      <c r="B26" s="32"/>
      <c r="C26" s="18">
        <v>3984</v>
      </c>
      <c r="D26" s="19">
        <v>31730</v>
      </c>
      <c r="E26" s="19">
        <f>D26-C26</f>
        <v>27746</v>
      </c>
      <c r="F26" s="19">
        <f>F25+'Sales'!E27</f>
        <v>11265</v>
      </c>
      <c r="G26" s="19">
        <v>12690</v>
      </c>
      <c r="H26" s="19">
        <v>19039</v>
      </c>
      <c r="I26" s="19">
        <f>G26+H26-C26-E26</f>
        <v>-1</v>
      </c>
      <c r="J26" s="19">
        <f>C26-G26</f>
        <v>-8706</v>
      </c>
      <c r="K26" s="19"/>
    </row>
    <row r="27" ht="20.05" customHeight="1">
      <c r="B27" s="33">
        <v>2021</v>
      </c>
      <c r="C27" s="18">
        <v>5326</v>
      </c>
      <c r="D27" s="19">
        <v>32691</v>
      </c>
      <c r="E27" s="19">
        <f>D27-C27</f>
        <v>27365</v>
      </c>
      <c r="F27" s="19">
        <f>10786+1428+987</f>
        <v>13201</v>
      </c>
      <c r="G27" s="19">
        <v>12891</v>
      </c>
      <c r="H27" s="19">
        <v>19800</v>
      </c>
      <c r="I27" s="19">
        <f>G27+H27-C27-E27</f>
        <v>0</v>
      </c>
      <c r="J27" s="19">
        <f>C27-G27</f>
        <v>-7565</v>
      </c>
      <c r="K27" s="19"/>
    </row>
    <row r="28" ht="20.05" customHeight="1">
      <c r="B28" s="32"/>
      <c r="C28" s="18">
        <v>5122</v>
      </c>
      <c r="D28" s="19">
        <v>32290</v>
      </c>
      <c r="E28" s="19">
        <f>D28-C28</f>
        <v>27168</v>
      </c>
      <c r="F28" s="19">
        <f>F27+'Sales'!E29</f>
        <v>13422.6</v>
      </c>
      <c r="G28" s="19">
        <v>12455</v>
      </c>
      <c r="H28" s="19">
        <v>19835</v>
      </c>
      <c r="I28" s="19">
        <f>G28+H28-C28-E28</f>
        <v>0</v>
      </c>
      <c r="J28" s="19">
        <f>C28-G28</f>
        <v>-7333</v>
      </c>
      <c r="K28" s="19"/>
    </row>
    <row r="29" ht="20.05" customHeight="1">
      <c r="B29" s="32"/>
      <c r="C29" s="18">
        <v>6368</v>
      </c>
      <c r="D29" s="19">
        <v>33301</v>
      </c>
      <c r="E29" s="19">
        <f>D29-C29</f>
        <v>26933</v>
      </c>
      <c r="F29" s="19">
        <f>11199+1705+1045</f>
        <v>13949</v>
      </c>
      <c r="G29" s="19">
        <v>12957</v>
      </c>
      <c r="H29" s="19">
        <v>20344</v>
      </c>
      <c r="I29" s="19">
        <f>G29+H29-C29-E29</f>
        <v>0</v>
      </c>
      <c r="J29" s="19">
        <f>C29-G29</f>
        <v>-6589</v>
      </c>
      <c r="K29" s="19">
        <f>J29</f>
        <v>-6589</v>
      </c>
    </row>
    <row r="30" ht="20.05" customHeight="1">
      <c r="B30" s="32"/>
      <c r="C30" s="18"/>
      <c r="D30" s="19"/>
      <c r="E30" s="19"/>
      <c r="F30" s="19"/>
      <c r="G30" s="19"/>
      <c r="H30" s="19"/>
      <c r="I30" s="19"/>
      <c r="J30" s="19"/>
      <c r="K30" s="19">
        <f>'Model'!F30</f>
        <v>-4614.218023466670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7188" style="37" customWidth="1"/>
    <col min="2" max="2" width="6.5" style="37" customWidth="1"/>
    <col min="3" max="4" width="10.9922" style="37" customWidth="1"/>
    <col min="5" max="16384" width="16.3516" style="37" customWidth="1"/>
  </cols>
  <sheetData>
    <row r="1" ht="15" customHeight="1"/>
    <row r="2" ht="27.65" customHeight="1">
      <c r="B2" t="s" s="2">
        <v>55</v>
      </c>
      <c r="C2" s="2"/>
      <c r="D2" s="2"/>
    </row>
    <row r="3" ht="20.25" customHeight="1">
      <c r="B3" s="6"/>
      <c r="C3" t="s" s="38">
        <v>56</v>
      </c>
      <c r="D3" t="s" s="38">
        <v>37</v>
      </c>
    </row>
    <row r="4" ht="20.25" customHeight="1">
      <c r="B4" s="27">
        <v>2014</v>
      </c>
      <c r="C4" s="39">
        <v>865</v>
      </c>
      <c r="D4" s="40"/>
    </row>
    <row r="5" ht="20.05" customHeight="1">
      <c r="B5" s="32"/>
      <c r="C5" s="41">
        <v>874</v>
      </c>
      <c r="D5" s="34"/>
    </row>
    <row r="6" ht="20.05" customHeight="1">
      <c r="B6" s="32"/>
      <c r="C6" s="41">
        <v>953</v>
      </c>
      <c r="D6" s="34"/>
    </row>
    <row r="7" ht="20.05" customHeight="1">
      <c r="B7" s="32"/>
      <c r="C7" s="41">
        <v>987</v>
      </c>
      <c r="D7" s="34"/>
    </row>
    <row r="8" ht="20.05" customHeight="1">
      <c r="B8" s="32"/>
      <c r="C8" s="18">
        <v>1008</v>
      </c>
      <c r="D8" s="34"/>
    </row>
    <row r="9" ht="20.05" customHeight="1">
      <c r="B9" s="32"/>
      <c r="C9" s="41">
        <v>916</v>
      </c>
      <c r="D9" s="34"/>
    </row>
    <row r="10" ht="20.05" customHeight="1">
      <c r="B10" s="32"/>
      <c r="C10" s="18">
        <v>1067</v>
      </c>
      <c r="D10" s="34"/>
    </row>
    <row r="11" ht="20.05" customHeight="1">
      <c r="B11" s="32"/>
      <c r="C11" s="18">
        <v>1004</v>
      </c>
      <c r="D11" s="34"/>
    </row>
    <row r="12" ht="20.05" customHeight="1">
      <c r="B12" s="32"/>
      <c r="C12" s="41">
        <v>932</v>
      </c>
      <c r="D12" s="34"/>
    </row>
    <row r="13" ht="20.05" customHeight="1">
      <c r="B13" s="32"/>
      <c r="C13" s="41">
        <v>815</v>
      </c>
      <c r="D13" s="34"/>
    </row>
    <row r="14" ht="20.05" customHeight="1">
      <c r="B14" s="32"/>
      <c r="C14" s="41">
        <v>823</v>
      </c>
      <c r="D14" s="34"/>
    </row>
    <row r="15" ht="20.05" customHeight="1">
      <c r="B15" s="32"/>
      <c r="C15" s="41">
        <v>895</v>
      </c>
      <c r="D15" s="34"/>
    </row>
    <row r="16" ht="20.05" customHeight="1">
      <c r="B16" s="33">
        <v>2015</v>
      </c>
      <c r="C16" s="41">
        <v>895</v>
      </c>
      <c r="D16" s="34"/>
    </row>
    <row r="17" ht="20.05" customHeight="1">
      <c r="B17" s="32"/>
      <c r="C17" s="41">
        <v>844</v>
      </c>
      <c r="D17" s="34"/>
    </row>
    <row r="18" ht="20.05" customHeight="1">
      <c r="B18" s="32"/>
      <c r="C18" s="41">
        <v>727</v>
      </c>
      <c r="D18" s="34"/>
    </row>
    <row r="19" ht="20.05" customHeight="1">
      <c r="B19" s="32"/>
      <c r="C19" s="41">
        <v>668</v>
      </c>
      <c r="D19" s="34"/>
    </row>
    <row r="20" ht="20.05" customHeight="1">
      <c r="B20" s="32"/>
      <c r="C20" s="41">
        <v>638</v>
      </c>
      <c r="D20" s="34"/>
    </row>
    <row r="21" ht="20.05" customHeight="1">
      <c r="B21" s="32"/>
      <c r="C21" s="41">
        <v>571</v>
      </c>
      <c r="D21" s="34"/>
    </row>
    <row r="22" ht="20.05" customHeight="1">
      <c r="B22" s="32"/>
      <c r="C22" s="41">
        <v>399</v>
      </c>
      <c r="D22" s="34"/>
    </row>
    <row r="23" ht="20.05" customHeight="1">
      <c r="B23" s="32"/>
      <c r="C23" s="41">
        <v>420</v>
      </c>
      <c r="D23" s="34"/>
    </row>
    <row r="24" ht="20.05" customHeight="1">
      <c r="B24" s="32"/>
      <c r="C24" s="41">
        <v>408</v>
      </c>
      <c r="D24" s="34"/>
    </row>
    <row r="25" ht="20.05" customHeight="1">
      <c r="B25" s="32"/>
      <c r="C25" s="41">
        <v>378</v>
      </c>
      <c r="D25" s="34"/>
    </row>
    <row r="26" ht="20.05" customHeight="1">
      <c r="B26" s="32"/>
      <c r="C26" s="41">
        <v>315</v>
      </c>
      <c r="D26" s="34"/>
    </row>
    <row r="27" ht="20.05" customHeight="1">
      <c r="B27" s="32"/>
      <c r="C27" s="41">
        <v>314</v>
      </c>
      <c r="D27" s="34"/>
    </row>
    <row r="28" ht="20.05" customHeight="1">
      <c r="B28" s="33">
        <v>2016</v>
      </c>
      <c r="C28" s="41">
        <v>329</v>
      </c>
      <c r="D28" s="34"/>
    </row>
    <row r="29" ht="20.05" customHeight="1">
      <c r="B29" s="32"/>
      <c r="C29" s="41">
        <v>364</v>
      </c>
      <c r="D29" s="34"/>
    </row>
    <row r="30" ht="20.05" customHeight="1">
      <c r="B30" s="32"/>
      <c r="C30" s="41">
        <v>464</v>
      </c>
      <c r="D30" s="34"/>
    </row>
    <row r="31" ht="20.05" customHeight="1">
      <c r="B31" s="32"/>
      <c r="C31" s="41">
        <v>760</v>
      </c>
      <c r="D31" s="34"/>
    </row>
    <row r="32" ht="20.05" customHeight="1">
      <c r="B32" s="32"/>
      <c r="C32" s="41">
        <v>650</v>
      </c>
      <c r="D32" s="34"/>
    </row>
    <row r="33" ht="20.05" customHeight="1">
      <c r="B33" s="32"/>
      <c r="C33" s="41">
        <v>725</v>
      </c>
      <c r="D33" s="34"/>
    </row>
    <row r="34" ht="20.05" customHeight="1">
      <c r="B34" s="32"/>
      <c r="C34" s="41">
        <v>795</v>
      </c>
      <c r="D34" s="34"/>
    </row>
    <row r="35" ht="20.05" customHeight="1">
      <c r="B35" s="32"/>
      <c r="C35" s="41">
        <v>720</v>
      </c>
      <c r="D35" s="34"/>
    </row>
    <row r="36" ht="20.05" customHeight="1">
      <c r="B36" s="32"/>
      <c r="C36" s="41">
        <v>820</v>
      </c>
      <c r="D36" s="34"/>
    </row>
    <row r="37" ht="20.05" customHeight="1">
      <c r="B37" s="32"/>
      <c r="C37" s="41">
        <v>895</v>
      </c>
      <c r="D37" s="34"/>
    </row>
    <row r="38" ht="20.05" customHeight="1">
      <c r="B38" s="32"/>
      <c r="C38" s="41">
        <v>970</v>
      </c>
      <c r="D38" s="34"/>
    </row>
    <row r="39" ht="20.05" customHeight="1">
      <c r="B39" s="32"/>
      <c r="C39" s="41">
        <v>895</v>
      </c>
      <c r="D39" s="34"/>
    </row>
    <row r="40" ht="20.05" customHeight="1">
      <c r="B40" s="33">
        <v>2017</v>
      </c>
      <c r="C40" s="41">
        <v>800</v>
      </c>
      <c r="D40" s="34"/>
    </row>
    <row r="41" ht="20.05" customHeight="1">
      <c r="B41" s="32"/>
      <c r="C41" s="41">
        <v>745</v>
      </c>
      <c r="D41" s="34"/>
    </row>
    <row r="42" ht="20.05" customHeight="1">
      <c r="B42" s="32"/>
      <c r="C42" s="41">
        <v>730</v>
      </c>
      <c r="D42" s="34"/>
    </row>
    <row r="43" ht="20.05" customHeight="1">
      <c r="B43" s="32"/>
      <c r="C43" s="41">
        <v>695</v>
      </c>
      <c r="D43" s="34"/>
    </row>
    <row r="44" ht="20.05" customHeight="1">
      <c r="B44" s="32"/>
      <c r="C44" s="41">
        <v>775</v>
      </c>
      <c r="D44" s="34"/>
    </row>
    <row r="45" ht="20.05" customHeight="1">
      <c r="B45" s="32"/>
      <c r="C45" s="41">
        <v>695</v>
      </c>
      <c r="D45" s="34"/>
    </row>
    <row r="46" ht="20.05" customHeight="1">
      <c r="B46" s="32"/>
      <c r="C46" s="41">
        <v>690</v>
      </c>
      <c r="D46" s="34"/>
    </row>
    <row r="47" ht="20.05" customHeight="1">
      <c r="B47" s="32"/>
      <c r="C47" s="41">
        <v>740</v>
      </c>
      <c r="D47" s="34"/>
    </row>
    <row r="48" ht="20.05" customHeight="1">
      <c r="B48" s="32"/>
      <c r="C48" s="41">
        <v>640</v>
      </c>
      <c r="D48" s="34"/>
    </row>
    <row r="49" ht="20.05" customHeight="1">
      <c r="B49" s="32"/>
      <c r="C49" s="41">
        <v>645</v>
      </c>
      <c r="D49" s="34"/>
    </row>
    <row r="50" ht="20.05" customHeight="1">
      <c r="B50" s="32"/>
      <c r="C50" s="41">
        <v>665</v>
      </c>
      <c r="D50" s="34"/>
    </row>
    <row r="51" ht="20.05" customHeight="1">
      <c r="B51" s="32"/>
      <c r="C51" s="41">
        <v>625</v>
      </c>
      <c r="D51" s="34"/>
    </row>
    <row r="52" ht="20.05" customHeight="1">
      <c r="B52" s="33">
        <v>2018</v>
      </c>
      <c r="C52" s="41">
        <v>915</v>
      </c>
      <c r="D52" s="34"/>
    </row>
    <row r="53" ht="20.05" customHeight="1">
      <c r="B53" s="32"/>
      <c r="C53" s="41">
        <v>955</v>
      </c>
      <c r="D53" s="34"/>
    </row>
    <row r="54" ht="20.05" customHeight="1">
      <c r="B54" s="32"/>
      <c r="C54" s="41">
        <v>775</v>
      </c>
      <c r="D54" s="34"/>
    </row>
    <row r="55" ht="20.05" customHeight="1">
      <c r="B55" s="32"/>
      <c r="C55" s="41">
        <v>845</v>
      </c>
      <c r="D55" s="34"/>
    </row>
    <row r="56" ht="20.05" customHeight="1">
      <c r="B56" s="32"/>
      <c r="C56" s="41">
        <v>865</v>
      </c>
      <c r="D56" s="34"/>
    </row>
    <row r="57" ht="20.05" customHeight="1">
      <c r="B57" s="32"/>
      <c r="C57" s="41">
        <v>890</v>
      </c>
      <c r="D57" s="34"/>
    </row>
    <row r="58" ht="20.05" customHeight="1">
      <c r="B58" s="32"/>
      <c r="C58" s="41">
        <v>915</v>
      </c>
      <c r="D58" s="34"/>
    </row>
    <row r="59" ht="20.05" customHeight="1">
      <c r="B59" s="32"/>
      <c r="C59" s="41">
        <v>870</v>
      </c>
      <c r="D59" s="34"/>
    </row>
    <row r="60" ht="20.05" customHeight="1">
      <c r="B60" s="32"/>
      <c r="C60" s="41">
        <v>845</v>
      </c>
      <c r="D60" s="34"/>
    </row>
    <row r="61" ht="20.05" customHeight="1">
      <c r="B61" s="32"/>
      <c r="C61" s="41">
        <v>680</v>
      </c>
      <c r="D61" s="34"/>
    </row>
    <row r="62" ht="20.05" customHeight="1">
      <c r="B62" s="32"/>
      <c r="C62" s="41">
        <v>615</v>
      </c>
      <c r="D62" s="34"/>
    </row>
    <row r="63" ht="20.05" customHeight="1">
      <c r="B63" s="32"/>
      <c r="C63" s="41">
        <v>765</v>
      </c>
      <c r="D63" s="34"/>
    </row>
    <row r="64" ht="20.05" customHeight="1">
      <c r="B64" s="33">
        <v>2019</v>
      </c>
      <c r="C64" s="41">
        <v>965</v>
      </c>
      <c r="D64" s="34"/>
    </row>
    <row r="65" ht="20.05" customHeight="1">
      <c r="B65" s="32"/>
      <c r="C65" s="18">
        <v>1015</v>
      </c>
      <c r="D65" s="34"/>
    </row>
    <row r="66" ht="20.05" customHeight="1">
      <c r="B66" s="32"/>
      <c r="C66" s="41">
        <v>885</v>
      </c>
      <c r="D66" s="34"/>
    </row>
    <row r="67" ht="20.05" customHeight="1">
      <c r="B67" s="32"/>
      <c r="C67" s="41">
        <v>865</v>
      </c>
      <c r="D67" s="34"/>
    </row>
    <row r="68" ht="20.05" customHeight="1">
      <c r="B68" s="32"/>
      <c r="C68" s="41">
        <v>725</v>
      </c>
      <c r="D68" s="34"/>
    </row>
    <row r="69" ht="20.05" customHeight="1">
      <c r="B69" s="32"/>
      <c r="C69" s="41">
        <v>845</v>
      </c>
      <c r="D69" s="34"/>
    </row>
    <row r="70" ht="20.05" customHeight="1">
      <c r="B70" s="32"/>
      <c r="C70" s="41">
        <v>935</v>
      </c>
      <c r="D70" s="34"/>
    </row>
    <row r="71" ht="20.05" customHeight="1">
      <c r="B71" s="32"/>
      <c r="C71" s="18">
        <v>1070</v>
      </c>
      <c r="D71" s="34"/>
    </row>
    <row r="72" ht="20.05" customHeight="1">
      <c r="B72" s="32"/>
      <c r="C72" s="41">
        <v>975</v>
      </c>
      <c r="D72" s="34"/>
    </row>
    <row r="73" ht="20.05" customHeight="1">
      <c r="B73" s="32"/>
      <c r="C73" s="41">
        <v>890</v>
      </c>
      <c r="D73" s="34"/>
    </row>
    <row r="74" ht="20.05" customHeight="1">
      <c r="B74" s="32"/>
      <c r="C74" s="41">
        <v>750</v>
      </c>
      <c r="D74" s="34"/>
    </row>
    <row r="75" ht="20.05" customHeight="1">
      <c r="B75" s="32"/>
      <c r="C75" s="41">
        <v>840</v>
      </c>
      <c r="D75" s="34"/>
    </row>
    <row r="76" ht="20.05" customHeight="1">
      <c r="B76" s="33">
        <v>2020</v>
      </c>
      <c r="C76" s="41">
        <v>720</v>
      </c>
      <c r="D76" s="34"/>
    </row>
    <row r="77" ht="20.05" customHeight="1">
      <c r="B77" s="32"/>
      <c r="C77" s="41">
        <v>575</v>
      </c>
      <c r="D77" s="34"/>
    </row>
    <row r="78" ht="20.05" customHeight="1">
      <c r="B78" s="32"/>
      <c r="C78" s="41">
        <v>450</v>
      </c>
      <c r="D78" s="23"/>
    </row>
    <row r="79" ht="20.05" customHeight="1">
      <c r="B79" s="32"/>
      <c r="C79" s="41">
        <v>510</v>
      </c>
      <c r="D79" s="23"/>
    </row>
    <row r="80" ht="20.05" customHeight="1">
      <c r="B80" s="32"/>
      <c r="C80" s="41">
        <v>535</v>
      </c>
      <c r="D80" s="23"/>
    </row>
    <row r="81" ht="20.05" customHeight="1">
      <c r="B81" s="32"/>
      <c r="C81" s="41">
        <v>605</v>
      </c>
      <c r="D81" s="23"/>
    </row>
    <row r="82" ht="20.05" customHeight="1">
      <c r="B82" s="32"/>
      <c r="C82" s="41">
        <v>730</v>
      </c>
      <c r="D82" s="23"/>
    </row>
    <row r="83" ht="20.05" customHeight="1">
      <c r="B83" s="32"/>
      <c r="C83" s="18">
        <v>820</v>
      </c>
      <c r="D83" s="23"/>
    </row>
    <row r="84" ht="20.05" customHeight="1">
      <c r="B84" s="32"/>
      <c r="C84" s="18">
        <v>705</v>
      </c>
      <c r="D84" s="23"/>
    </row>
    <row r="85" ht="20.05" customHeight="1">
      <c r="B85" s="32"/>
      <c r="C85" s="18">
        <v>1055</v>
      </c>
      <c r="D85" s="23"/>
    </row>
    <row r="86" ht="20.05" customHeight="1">
      <c r="B86" s="32"/>
      <c r="C86" s="18">
        <v>1145</v>
      </c>
      <c r="D86" s="34"/>
    </row>
    <row r="87" ht="20.05" customHeight="1">
      <c r="B87" s="32"/>
      <c r="C87" s="18">
        <v>1935</v>
      </c>
      <c r="D87" s="34"/>
    </row>
    <row r="88" ht="20.05" customHeight="1">
      <c r="B88" s="33">
        <v>2021</v>
      </c>
      <c r="C88" s="18">
        <v>2220</v>
      </c>
      <c r="D88" s="34"/>
    </row>
    <row r="89" ht="20.05" customHeight="1">
      <c r="B89" s="32"/>
      <c r="C89" s="18">
        <v>2819.508057</v>
      </c>
      <c r="D89" s="34"/>
    </row>
    <row r="90" ht="20.05" customHeight="1">
      <c r="B90" s="32"/>
      <c r="C90" s="18">
        <v>2233.765137</v>
      </c>
      <c r="D90" s="34"/>
    </row>
    <row r="91" ht="20.05" customHeight="1">
      <c r="B91" s="32"/>
      <c r="C91" s="18">
        <v>2490</v>
      </c>
      <c r="D91" s="34"/>
    </row>
    <row r="92" ht="20.05" customHeight="1">
      <c r="B92" s="32"/>
      <c r="C92" s="18">
        <v>2450</v>
      </c>
      <c r="D92" s="34"/>
    </row>
    <row r="93" ht="20.05" customHeight="1">
      <c r="B93" s="32"/>
      <c r="C93" s="18">
        <v>2300</v>
      </c>
      <c r="D93" s="34"/>
    </row>
    <row r="94" ht="20.05" customHeight="1">
      <c r="B94" s="32"/>
      <c r="C94" s="18">
        <v>2520</v>
      </c>
      <c r="D94" s="34"/>
    </row>
    <row r="95" ht="20.05" customHeight="1">
      <c r="B95" s="32"/>
      <c r="C95" s="18">
        <v>2390</v>
      </c>
      <c r="D95" s="34"/>
    </row>
    <row r="96" ht="20.05" customHeight="1">
      <c r="B96" s="32"/>
      <c r="C96" s="18">
        <v>2290</v>
      </c>
      <c r="D96" s="34"/>
    </row>
    <row r="97" ht="20.05" customHeight="1">
      <c r="B97" s="32"/>
      <c r="C97" s="18">
        <v>2340</v>
      </c>
      <c r="D97" s="34"/>
    </row>
    <row r="98" ht="20.05" customHeight="1">
      <c r="B98" s="32"/>
      <c r="C98" s="18">
        <v>2390</v>
      </c>
      <c r="D98" s="34">
        <f>C98</f>
        <v>2390</v>
      </c>
    </row>
    <row r="99" ht="20.05" customHeight="1">
      <c r="B99" s="32"/>
      <c r="C99" s="18"/>
      <c r="D99" s="34">
        <f>'Model'!F42</f>
        <v>2926.8413970473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