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<sst xmlns="http://schemas.openxmlformats.org/spreadsheetml/2006/main" uniqueCount="57">
  <si>
    <t>Financial model</t>
  </si>
  <si>
    <t>$m</t>
  </si>
  <si>
    <t>4Q 2021</t>
  </si>
  <si>
    <t>Cashflow</t>
  </si>
  <si>
    <t>Growth</t>
  </si>
  <si>
    <t>Sales</t>
  </si>
  <si>
    <t>Cash cost ratio</t>
  </si>
  <si>
    <t xml:space="preserve">Cash cost 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</si>
  <si>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</si>
  <si>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</si>
  <si>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</si>
  <si>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</si>
  <si>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</si>
  <si>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>Equity</t>
  </si>
  <si>
    <t xml:space="preserve">Before revolver </t>
  </si>
  <si>
    <t xml:space="preserve">Revolver </t>
  </si>
  <si>
    <t>Beginning cash</t>
  </si>
  <si>
    <t>Change</t>
  </si>
  <si>
    <t>Ending cash</t>
  </si>
  <si>
    <t>Profit</t>
  </si>
  <si>
    <t>Non cash costs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</si>
  <si>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</si>
  <si>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</si>
  <si>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</si>
  <si>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</si>
  <si>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</si>
  <si>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</si>
  <si>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</si>
  <si>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</si>
  <si>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</si>
  <si>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</si>
  <si>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</si>
  <si>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</si>
  <si>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</si>
  <si>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</si>
  <si>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</si>
  <si>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</si>
  <si>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</si>
  <si>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</si>
  <si>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</si>
  <si>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</si>
  <si>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</si>
  <si>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</si>
  <si>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</si>
  <si>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</si>
  <si>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Cost ratio </t>
  </si>
  <si>
    <t>Net income</t>
  </si>
  <si>
    <t xml:space="preserve">Non cash costs </t>
  </si>
  <si>
    <t xml:space="preserve">Working capital </t>
  </si>
  <si>
    <t>PPE</t>
  </si>
  <si>
    <t>Finance</t>
  </si>
  <si>
    <t xml:space="preserve">Free cashflow </t>
  </si>
  <si>
    <t>Cash</t>
  </si>
  <si>
    <t>Assets</t>
  </si>
  <si>
    <t>Other Assets</t>
  </si>
  <si>
    <t>AMZN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</si>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</sst>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_);[Red]\(#,##0%\)"/>
    <numFmt numFmtId="60" formatCode="#,##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  <font>
      <sz val="12"/>
      <color indexed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1"/>
      </left>
      <right style="thin">
        <color indexed="10"/>
      </right>
      <top style="thin">
        <color indexed="14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6"/>
      </bottom>
      <diagonal/>
    </border>
    <border>
      <left style="thin">
        <color indexed="11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6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vertical="top" wrapText="1"/>
    </xf>
    <xf numFmtId="3" fontId="3" fillId="5" borderId="9" applyNumberFormat="1" applyFont="1" applyFill="1" applyBorder="1" applyAlignment="1" applyProtection="0">
      <alignment vertical="center" wrapText="1" readingOrder="1"/>
    </xf>
    <xf numFmtId="3" fontId="4" borderId="10" applyNumberFormat="1" applyFont="1" applyFill="0" applyBorder="1" applyAlignment="1" applyProtection="0">
      <alignment vertical="center" wrapText="1" readingOrder="1"/>
    </xf>
    <xf numFmtId="3" fontId="3" fillId="5" borderId="11" applyNumberFormat="1" applyFont="1" applyFill="1" applyBorder="1" applyAlignment="1" applyProtection="0">
      <alignment vertical="center" wrapText="1" readingOrder="1"/>
    </xf>
    <xf numFmtId="3" fontId="4" fillId="5" borderId="12" applyNumberFormat="1" applyFont="1" applyFill="1" applyBorder="1" applyAlignment="1" applyProtection="0">
      <alignment vertical="center" wrapText="1" readingOrder="1"/>
    </xf>
    <xf numFmtId="3" fontId="4" borderId="12" applyNumberFormat="1" applyFont="1" applyFill="0" applyBorder="1" applyAlignment="1" applyProtection="0">
      <alignment vertical="center" wrapText="1" readingOrder="1"/>
    </xf>
    <xf numFmtId="3" fontId="4" borderId="13" applyNumberFormat="1" applyFont="1" applyFill="0" applyBorder="1" applyAlignment="1" applyProtection="0">
      <alignment vertical="center" wrapText="1" readingOrder="1"/>
    </xf>
    <xf numFmtId="3" fontId="3" fillId="5" borderId="14" applyNumberFormat="1" applyFont="1" applyFill="1" applyBorder="1" applyAlignment="1" applyProtection="0">
      <alignment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  <rgbColor rgb="ffffffff"/>
      <rgbColor rgb="ffd9d9d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634068</xdr:colOff>
      <xdr:row>1</xdr:row>
      <xdr:rowOff>307127</xdr:rowOff>
    </xdr:from>
    <xdr:to>
      <xdr:col>12</xdr:col>
      <xdr:colOff>1110133</xdr:colOff>
      <xdr:row>46</xdr:row>
      <xdr:rowOff>158230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31468" y="609387"/>
          <a:ext cx="7943666" cy="114112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3906" style="1" customWidth="1"/>
    <col min="2" max="2" width="16.5078" style="1" customWidth="1"/>
    <col min="3" max="6" width="9.25781" style="1" customWidth="1"/>
    <col min="7" max="16384" width="16.3516" style="1" customWidth="1"/>
  </cols>
  <sheetData>
    <row r="1" ht="23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AVERAGE('Sales'!E27:E30)</f>
        <v>0.048045283232293</v>
      </c>
      <c r="D4" s="8"/>
      <c r="E4" s="8"/>
      <c r="F4" s="8">
        <f>AVERAGE(C5:F5)</f>
        <v>0.0625</v>
      </c>
    </row>
    <row r="5" ht="20.05" customHeight="1">
      <c r="B5" t="s" s="9">
        <v>4</v>
      </c>
      <c r="C5" s="10">
        <v>0.24</v>
      </c>
      <c r="D5" s="11">
        <v>-0.09</v>
      </c>
      <c r="E5" s="11">
        <v>0.05</v>
      </c>
      <c r="F5" s="11">
        <v>0.05</v>
      </c>
    </row>
    <row r="6" ht="20.05" customHeight="1">
      <c r="B6" t="s" s="9">
        <v>5</v>
      </c>
      <c r="C6" s="12">
        <f>'Sales'!C30*(1+C5)</f>
        <v>137406.88</v>
      </c>
      <c r="D6" s="13">
        <f>C6*(1+D5)</f>
        <v>125040.2608</v>
      </c>
      <c r="E6" s="13">
        <f>D6*(1+E5)</f>
        <v>131292.27384</v>
      </c>
      <c r="F6" s="13">
        <f>E6*(1+F5)</f>
        <v>137856.887532</v>
      </c>
    </row>
    <row r="7" ht="20.05" customHeight="1">
      <c r="B7" t="s" s="9">
        <v>6</v>
      </c>
      <c r="C7" s="14">
        <f>AVERAGE('Sales'!F27:F30)</f>
        <v>-0.817361609781958</v>
      </c>
      <c r="D7" s="15">
        <f>C7</f>
        <v>-0.817361609781958</v>
      </c>
      <c r="E7" s="15">
        <f>D7</f>
        <v>-0.817361609781958</v>
      </c>
      <c r="F7" s="15">
        <f>E7</f>
        <v>-0.817361609781958</v>
      </c>
    </row>
    <row r="8" ht="20.05" customHeight="1">
      <c r="B8" t="s" s="9">
        <v>7</v>
      </c>
      <c r="C8" s="16">
        <f>C7*C6</f>
        <v>-112311.108631916</v>
      </c>
      <c r="D8" s="17">
        <f>D7*D6</f>
        <v>-102203.108855044</v>
      </c>
      <c r="E8" s="17">
        <f>E7*E6</f>
        <v>-107313.264297796</v>
      </c>
      <c r="F8" s="17">
        <f>F7*F6</f>
        <v>-112678.927512686</v>
      </c>
    </row>
    <row r="9" ht="20.05" customHeight="1">
      <c r="B9" t="s" s="9">
        <v>8</v>
      </c>
      <c r="C9" s="16">
        <f>C6+C8</f>
        <v>25095.771368084</v>
      </c>
      <c r="D9" s="17">
        <f>D6+D8</f>
        <v>22837.151944956</v>
      </c>
      <c r="E9" s="17">
        <f>E6+E8</f>
        <v>23979.009542204</v>
      </c>
      <c r="F9" s="17">
        <f>F6+F8</f>
        <v>25177.960019314</v>
      </c>
    </row>
    <row r="10" ht="20.05" customHeight="1">
      <c r="B10" t="s" s="9">
        <v>9</v>
      </c>
      <c r="C10" s="16">
        <f>AVERAGE('Cashflow '!F30)</f>
        <v>-15748</v>
      </c>
      <c r="D10" s="17">
        <f>C10</f>
        <v>-15748</v>
      </c>
      <c r="E10" s="17">
        <f>D10</f>
        <v>-15748</v>
      </c>
      <c r="F10" s="17">
        <f>E10</f>
        <v>-15748</v>
      </c>
    </row>
    <row r="11" ht="20.05" customHeight="1">
      <c r="B11" t="s" s="9">
        <v>10</v>
      </c>
      <c r="C11" s="16">
        <f>'Cashflow '!G30</f>
        <v>-2693</v>
      </c>
      <c r="D11" s="17">
        <f>C11</f>
        <v>-2693</v>
      </c>
      <c r="E11" s="17">
        <f>D11</f>
        <v>-2693</v>
      </c>
      <c r="F11" s="17">
        <f>E11</f>
        <v>-2693</v>
      </c>
    </row>
    <row r="12" ht="20.05" customHeight="1">
      <c r="B12" t="s" s="9">
        <v>11</v>
      </c>
      <c r="C12" s="16">
        <f>C13+C14+C16</f>
        <v>-9347.771368084001</v>
      </c>
      <c r="D12" s="17">
        <f>D13+D14+D16</f>
        <v>-7089.151944956</v>
      </c>
      <c r="E12" s="17">
        <f>E13+E14+E16</f>
        <v>-8231.009542203999</v>
      </c>
      <c r="F12" s="17">
        <f>F13+F14+F16</f>
        <v>-9429.960019314</v>
      </c>
    </row>
    <row r="13" ht="20.05" customHeight="1">
      <c r="B13" t="s" s="9">
        <v>12</v>
      </c>
      <c r="C13" s="16">
        <f>-('Balance sheet'!G30)/20</f>
        <v>-11389.55</v>
      </c>
      <c r="D13" s="17">
        <f>-C27/20</f>
        <v>-10820.0725</v>
      </c>
      <c r="E13" s="17">
        <f>-D27/20</f>
        <v>-10279.068875</v>
      </c>
      <c r="F13" s="17">
        <f>-E27/20</f>
        <v>-9765.11543125</v>
      </c>
    </row>
    <row r="14" ht="20.05" customHeight="1">
      <c r="B14" t="s" s="9">
        <v>13</v>
      </c>
      <c r="C14" s="16">
        <f>IF(C22&gt;0,-C22*0.7,0)</f>
        <v>-8186.3399576588</v>
      </c>
      <c r="D14" s="17">
        <f>IF(D22&gt;0,-D22*0.7,0)</f>
        <v>-6605.3063614692</v>
      </c>
      <c r="E14" s="17">
        <f>IF(E22&gt;0,-E22*0.7,0)</f>
        <v>-7404.6066795428</v>
      </c>
      <c r="F14" s="17">
        <f>IF(F22&gt;0,-F22*0.7,0)</f>
        <v>-8243.8720135198</v>
      </c>
    </row>
    <row r="15" ht="20.05" customHeight="1">
      <c r="B15" t="s" s="9">
        <v>14</v>
      </c>
      <c r="C15" s="16">
        <f>C9+C10+C13+C14</f>
        <v>-10228.1185895748</v>
      </c>
      <c r="D15" s="17">
        <f>D9+D10+D13+D14</f>
        <v>-10336.2269165132</v>
      </c>
      <c r="E15" s="17">
        <f>E9+E10+E13+E14</f>
        <v>-9452.666012338799</v>
      </c>
      <c r="F15" s="17">
        <f>F9+F10+F13+F14</f>
        <v>-8579.027425455801</v>
      </c>
    </row>
    <row r="16" ht="20.05" customHeight="1">
      <c r="B16" t="s" s="9">
        <v>15</v>
      </c>
      <c r="C16" s="16">
        <f>-MIN(0,C15)</f>
        <v>10228.1185895748</v>
      </c>
      <c r="D16" s="17">
        <f>-MIN(C28,D15)</f>
        <v>10336.2269165132</v>
      </c>
      <c r="E16" s="17">
        <f>-MIN(D28,E15)</f>
        <v>9452.666012338799</v>
      </c>
      <c r="F16" s="17">
        <f>-MIN(E28,F15)</f>
        <v>8579.027425455801</v>
      </c>
    </row>
    <row r="17" ht="20.05" customHeight="1">
      <c r="B17" t="s" s="9">
        <v>16</v>
      </c>
      <c r="C17" s="16">
        <f>'Balance sheet'!C30</f>
        <v>42122</v>
      </c>
      <c r="D17" s="17">
        <f>C19</f>
        <v>42122</v>
      </c>
      <c r="E17" s="17">
        <f>D19</f>
        <v>42122</v>
      </c>
      <c r="F17" s="17">
        <f>E19</f>
        <v>42122</v>
      </c>
    </row>
    <row r="18" ht="20.05" customHeight="1">
      <c r="B18" t="s" s="9">
        <v>17</v>
      </c>
      <c r="C18" s="16">
        <f>C9+C10+C12</f>
        <v>0</v>
      </c>
      <c r="D18" s="17">
        <f>D9+D10+D12</f>
        <v>0</v>
      </c>
      <c r="E18" s="17">
        <f>E9+E10+E12</f>
        <v>0</v>
      </c>
      <c r="F18" s="17">
        <f>F9+F10+F12</f>
        <v>0</v>
      </c>
    </row>
    <row r="19" ht="20.05" customHeight="1">
      <c r="B19" t="s" s="9">
        <v>18</v>
      </c>
      <c r="C19" s="16">
        <f>C17+C18</f>
        <v>42122</v>
      </c>
      <c r="D19" s="17">
        <f>D17+D18</f>
        <v>42122</v>
      </c>
      <c r="E19" s="17">
        <f>E17+E18</f>
        <v>42122</v>
      </c>
      <c r="F19" s="17">
        <f>F17+F18</f>
        <v>42122</v>
      </c>
    </row>
    <row r="20" ht="20.05" customHeight="1">
      <c r="B20" t="s" s="18">
        <v>19</v>
      </c>
      <c r="C20" s="19"/>
      <c r="D20" s="20"/>
      <c r="E20" s="20"/>
      <c r="F20" s="21"/>
    </row>
    <row r="21" ht="20.05" customHeight="1">
      <c r="B21" t="s" s="9">
        <v>20</v>
      </c>
      <c r="C21" s="16">
        <f>-AVERAGE('Cashflow '!D30)</f>
        <v>-13401</v>
      </c>
      <c r="D21" s="17">
        <f>C21</f>
        <v>-13401</v>
      </c>
      <c r="E21" s="17">
        <f>D21</f>
        <v>-13401</v>
      </c>
      <c r="F21" s="17">
        <f>E21</f>
        <v>-13401</v>
      </c>
    </row>
    <row r="22" ht="20.05" customHeight="1">
      <c r="B22" t="s" s="9">
        <v>21</v>
      </c>
      <c r="C22" s="16">
        <f>C6+C8+C21</f>
        <v>11694.771368084</v>
      </c>
      <c r="D22" s="17">
        <f>D6+D8+D21</f>
        <v>9436.151944956</v>
      </c>
      <c r="E22" s="17">
        <f>E6+E8+E21</f>
        <v>10578.009542204</v>
      </c>
      <c r="F22" s="17">
        <f>F6+F8+F21</f>
        <v>11776.960019314</v>
      </c>
    </row>
    <row r="23" ht="20.05" customHeight="1">
      <c r="B23" t="s" s="18">
        <v>22</v>
      </c>
      <c r="C23" s="19"/>
      <c r="D23" s="20"/>
      <c r="E23" s="20"/>
      <c r="F23" s="17"/>
    </row>
    <row r="24" ht="20.05" customHeight="1">
      <c r="B24" t="s" s="9">
        <v>23</v>
      </c>
      <c r="C24" s="16">
        <f>'Balance sheet'!F30+'Balance sheet'!E30-C10</f>
        <v>439223</v>
      </c>
      <c r="D24" s="17">
        <f>C24-D10</f>
        <v>454971</v>
      </c>
      <c r="E24" s="17">
        <f>D24-E10</f>
        <v>470719</v>
      </c>
      <c r="F24" s="17">
        <f>E24-F10</f>
        <v>486467</v>
      </c>
    </row>
    <row r="25" ht="20.05" customHeight="1">
      <c r="B25" t="s" s="9">
        <v>24</v>
      </c>
      <c r="C25" s="16">
        <f>'Balance sheet'!F30-C21</f>
        <v>157803</v>
      </c>
      <c r="D25" s="17">
        <f>C25-D21</f>
        <v>171204</v>
      </c>
      <c r="E25" s="17">
        <f>D25-E21</f>
        <v>184605</v>
      </c>
      <c r="F25" s="17">
        <f>E25-F21</f>
        <v>198006</v>
      </c>
    </row>
    <row r="26" ht="20.05" customHeight="1">
      <c r="B26" t="s" s="9">
        <v>25</v>
      </c>
      <c r="C26" s="16">
        <f>C24-C25</f>
        <v>281420</v>
      </c>
      <c r="D26" s="17">
        <f>D24-D25</f>
        <v>283767</v>
      </c>
      <c r="E26" s="17">
        <f>E24-E25</f>
        <v>286114</v>
      </c>
      <c r="F26" s="17">
        <f>F24-F25</f>
        <v>288461</v>
      </c>
    </row>
    <row r="27" ht="20.05" customHeight="1">
      <c r="B27" t="s" s="9">
        <v>12</v>
      </c>
      <c r="C27" s="16">
        <f>'Balance sheet'!G30+C13</f>
        <v>216401.45</v>
      </c>
      <c r="D27" s="17">
        <f>C27+D13</f>
        <v>205581.3775</v>
      </c>
      <c r="E27" s="17">
        <f>D27+E13</f>
        <v>195302.308625</v>
      </c>
      <c r="F27" s="17">
        <f>E27+F13</f>
        <v>185537.19319375</v>
      </c>
    </row>
    <row r="28" ht="20.05" customHeight="1">
      <c r="B28" t="s" s="9">
        <v>15</v>
      </c>
      <c r="C28" s="16">
        <f>C16</f>
        <v>10228.1185895748</v>
      </c>
      <c r="D28" s="17">
        <f>C28+D16</f>
        <v>20564.345506088</v>
      </c>
      <c r="E28" s="17">
        <f>D28+E16</f>
        <v>30017.0115184268</v>
      </c>
      <c r="F28" s="17">
        <f>E28+F16</f>
        <v>38596.0389438826</v>
      </c>
    </row>
    <row r="29" ht="20.05" customHeight="1">
      <c r="B29" t="s" s="9">
        <v>26</v>
      </c>
      <c r="C29" s="16">
        <f>'Balance sheet'!H30+C22+C14</f>
        <v>96912.4314104252</v>
      </c>
      <c r="D29" s="17">
        <f>C29+D22+D14</f>
        <v>99743.276993912</v>
      </c>
      <c r="E29" s="17">
        <f>D29+E22+E14</f>
        <v>102916.679856573</v>
      </c>
      <c r="F29" s="17">
        <f>E29+F22+F14</f>
        <v>106449.767862367</v>
      </c>
    </row>
    <row r="30" ht="20.05" customHeight="1">
      <c r="B30" t="s" s="9">
        <v>27</v>
      </c>
      <c r="C30" s="16">
        <f>C27+C28+C29-C19-C26</f>
        <v>0</v>
      </c>
      <c r="D30" s="17">
        <f>D27+D28+D29-D19-D26</f>
        <v>0</v>
      </c>
      <c r="E30" s="17">
        <f>E27+E28+E29-E19-E26</f>
        <v>-2e-10</v>
      </c>
      <c r="F30" s="17">
        <f>F27+F28+F29-F19-F26</f>
        <v>-4e-10</v>
      </c>
    </row>
    <row r="31" ht="20.05" customHeight="1">
      <c r="B31" t="s" s="9">
        <v>28</v>
      </c>
      <c r="C31" s="16">
        <f>C19-C27-C28</f>
        <v>-184507.568589575</v>
      </c>
      <c r="D31" s="17">
        <f>D19-D27-D28</f>
        <v>-184023.723006088</v>
      </c>
      <c r="E31" s="17">
        <f>E19-E27-E28</f>
        <v>-183197.320143427</v>
      </c>
      <c r="F31" s="17">
        <f>F19-F27-F28</f>
        <v>-182011.232137633</v>
      </c>
    </row>
    <row r="32" ht="20.05" customHeight="1">
      <c r="B32" t="s" s="9">
        <v>29</v>
      </c>
      <c r="C32" s="16"/>
      <c r="D32" s="17"/>
      <c r="E32" s="17"/>
      <c r="F32" s="17"/>
    </row>
    <row r="33" ht="20.05" customHeight="1">
      <c r="B33" t="s" s="9">
        <v>30</v>
      </c>
      <c r="C33" s="16">
        <f>'Cashflow '!M30-(C12-C11)</f>
        <v>-27753.228631916</v>
      </c>
      <c r="D33" s="17">
        <f>C33-(D12-D11)</f>
        <v>-23357.07668696</v>
      </c>
      <c r="E33" s="17">
        <f>D33-(E12-E11)</f>
        <v>-17819.067144756</v>
      </c>
      <c r="F33" s="17">
        <f>E33-(F12-F11)</f>
        <v>-11082.107125442</v>
      </c>
    </row>
    <row r="34" ht="20.05" customHeight="1">
      <c r="B34" t="s" s="9">
        <v>31</v>
      </c>
      <c r="C34" s="16"/>
      <c r="D34" s="17"/>
      <c r="E34" s="17"/>
      <c r="F34" s="17">
        <v>1710000</v>
      </c>
    </row>
    <row r="35" ht="20.05" customHeight="1">
      <c r="B35" t="s" s="9">
        <v>32</v>
      </c>
      <c r="C35" s="16"/>
      <c r="D35" s="17"/>
      <c r="E35" s="17"/>
      <c r="F35" s="22">
        <f>F34/(F19+F26)</f>
        <v>5.17267978087197</v>
      </c>
    </row>
    <row r="36" ht="20.05" customHeight="1">
      <c r="B36" t="s" s="9">
        <v>33</v>
      </c>
      <c r="C36" s="16"/>
      <c r="D36" s="17"/>
      <c r="E36" s="17"/>
      <c r="F36" s="11">
        <f>-(C14+D14+E14+F14)/F34</f>
        <v>0.0178012426971875</v>
      </c>
    </row>
    <row r="37" ht="20.05" customHeight="1">
      <c r="B37" t="s" s="9">
        <v>34</v>
      </c>
      <c r="C37" s="16"/>
      <c r="D37" s="17"/>
      <c r="E37" s="17"/>
      <c r="F37" s="17">
        <f>SUM(C9:F11)</f>
        <v>23325.892874558</v>
      </c>
    </row>
    <row r="38" ht="20.05" customHeight="1">
      <c r="B38" t="s" s="9">
        <v>35</v>
      </c>
      <c r="C38" s="16"/>
      <c r="D38" s="17"/>
      <c r="E38" s="17"/>
      <c r="F38" s="17">
        <f>'Balance sheet'!E30/F37</f>
        <v>11.9640864982446</v>
      </c>
    </row>
    <row r="39" ht="20.05" customHeight="1">
      <c r="B39" t="s" s="9">
        <v>29</v>
      </c>
      <c r="C39" s="16"/>
      <c r="D39" s="17"/>
      <c r="E39" s="17"/>
      <c r="F39" s="17">
        <f>F34/F37</f>
        <v>73.3090908543582</v>
      </c>
    </row>
    <row r="40" ht="20.05" customHeight="1">
      <c r="B40" t="s" s="23">
        <v>36</v>
      </c>
      <c r="C40" s="16"/>
      <c r="D40" s="17"/>
      <c r="E40" s="17"/>
      <c r="F40" s="17">
        <v>100</v>
      </c>
    </row>
    <row r="41" ht="20.05" customHeight="1">
      <c r="B41" t="s" s="9">
        <v>37</v>
      </c>
      <c r="C41" s="16"/>
      <c r="D41" s="17"/>
      <c r="E41" s="17"/>
      <c r="F41" s="17">
        <f>F37*F40</f>
        <v>2332589.2874558</v>
      </c>
    </row>
    <row r="42" ht="20.05" customHeight="1">
      <c r="B42" t="s" s="9">
        <v>38</v>
      </c>
      <c r="C42" s="16"/>
      <c r="D42" s="17"/>
      <c r="E42" s="17"/>
      <c r="F42" s="17">
        <f>F34/F44</f>
        <v>507.052777967222</v>
      </c>
    </row>
    <row r="43" ht="20.05" customHeight="1">
      <c r="B43" t="s" s="9">
        <v>39</v>
      </c>
      <c r="C43" s="16"/>
      <c r="D43" s="17"/>
      <c r="E43" s="17"/>
      <c r="F43" s="17">
        <f>F41/F42</f>
        <v>4600.288941926650</v>
      </c>
    </row>
    <row r="44" ht="20.05" customHeight="1">
      <c r="B44" t="s" s="9">
        <v>40</v>
      </c>
      <c r="C44" s="16"/>
      <c r="D44" s="17"/>
      <c r="E44" s="17"/>
      <c r="F44" s="17">
        <f>'Share price'!C97</f>
        <v>3372.43</v>
      </c>
    </row>
    <row r="45" ht="20.05" customHeight="1">
      <c r="B45" t="s" s="9">
        <v>41</v>
      </c>
      <c r="C45" s="16"/>
      <c r="D45" s="17"/>
      <c r="E45" s="17"/>
      <c r="F45" s="11">
        <f>F43/F44-1</f>
        <v>0.364087302605732</v>
      </c>
    </row>
    <row r="46" ht="20.05" customHeight="1">
      <c r="B46" t="s" s="9">
        <v>42</v>
      </c>
      <c r="C46" s="16"/>
      <c r="D46" s="17"/>
      <c r="E46" s="17"/>
      <c r="F46" s="11">
        <f>'Sales'!C30/'Sales'!C26-1</f>
        <v>0.15255083467679</v>
      </c>
    </row>
    <row r="47" ht="20.05" customHeight="1">
      <c r="B47" t="s" s="9">
        <v>43</v>
      </c>
      <c r="C47" s="16"/>
      <c r="D47" s="17"/>
      <c r="E47" s="17"/>
      <c r="F47" s="11">
        <f>('Sales'!D24+'Sales'!D25+'Sales'!D26+'Sales'!D27+'Sales'!D28+'Sales'!D29+'Sales'!D30)/('Sales'!C24+'Sales'!C25+'Sales'!C26+'Sales'!C27+'Sales'!C28+'Sales'!C29+'Sales'!C30)-1</f>
        <v>-0.0287132589349093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0078" style="24" customWidth="1"/>
    <col min="2" max="2" width="10.3984" style="24" customWidth="1"/>
    <col min="3" max="7" width="10.0703" style="24" customWidth="1"/>
    <col min="8" max="16384" width="16.3516" style="24" customWidth="1"/>
  </cols>
  <sheetData>
    <row r="1" ht="55.8" customHeight="1"/>
    <row r="2" ht="27.65" customHeight="1">
      <c r="B2" t="s" s="2">
        <v>5</v>
      </c>
      <c r="C2" s="2"/>
      <c r="D2" s="2"/>
      <c r="E2" s="2"/>
      <c r="F2" s="2"/>
      <c r="G2" s="2"/>
    </row>
    <row r="3" ht="32.25" customHeight="1">
      <c r="B3" t="s" s="4">
        <v>1</v>
      </c>
      <c r="C3" t="s" s="4">
        <v>5</v>
      </c>
      <c r="D3" t="s" s="4">
        <v>36</v>
      </c>
      <c r="E3" t="s" s="4">
        <v>44</v>
      </c>
      <c r="F3" t="s" s="4">
        <v>45</v>
      </c>
      <c r="G3" t="s" s="4">
        <v>45</v>
      </c>
    </row>
    <row r="4" ht="20.25" customHeight="1">
      <c r="B4" s="25">
        <v>2015</v>
      </c>
      <c r="C4" s="26">
        <v>22717</v>
      </c>
      <c r="D4" s="27"/>
      <c r="E4" s="28"/>
      <c r="F4" s="28"/>
      <c r="G4" s="28"/>
    </row>
    <row r="5" ht="20.05" customHeight="1">
      <c r="B5" s="29"/>
      <c r="C5" s="12">
        <v>23185</v>
      </c>
      <c r="D5" s="13"/>
      <c r="E5" s="11">
        <f>C5/C4-1</f>
        <v>0.0206013117929304</v>
      </c>
      <c r="F5" s="11"/>
      <c r="G5" s="11"/>
    </row>
    <row r="6" ht="20.05" customHeight="1">
      <c r="B6" s="29"/>
      <c r="C6" s="12">
        <v>25358</v>
      </c>
      <c r="D6" s="13"/>
      <c r="E6" s="11">
        <f>C6/C5-1</f>
        <v>0.09372439076989431</v>
      </c>
      <c r="F6" s="11"/>
      <c r="G6" s="11"/>
    </row>
    <row r="7" ht="20.05" customHeight="1">
      <c r="B7" s="29"/>
      <c r="C7" s="12">
        <v>35747</v>
      </c>
      <c r="D7" s="13"/>
      <c r="E7" s="11">
        <f>C7/C6-1</f>
        <v>0.409693193469517</v>
      </c>
      <c r="F7" s="11"/>
      <c r="G7" s="11"/>
    </row>
    <row r="8" ht="20.05" customHeight="1">
      <c r="B8" s="30">
        <v>2016</v>
      </c>
      <c r="C8" s="12">
        <v>29128</v>
      </c>
      <c r="D8" s="13"/>
      <c r="E8" s="11">
        <f>C8/C7-1</f>
        <v>-0.185162391249615</v>
      </c>
      <c r="F8" s="11">
        <f>('Cashflow '!C8+'Cashflow '!D8-'Cashflow '!E8-C8)/C8</f>
        <v>-0.772280966767372</v>
      </c>
      <c r="G8" s="11"/>
    </row>
    <row r="9" ht="20.05" customHeight="1">
      <c r="B9" s="29"/>
      <c r="C9" s="12">
        <v>30404</v>
      </c>
      <c r="D9" s="13"/>
      <c r="E9" s="11">
        <f>C9/C8-1</f>
        <v>0.0438066465256798</v>
      </c>
      <c r="F9" s="11">
        <f>('Cashflow '!C9+'Cashflow '!D9-'Cashflow '!E9-C9)/C9</f>
        <v>-0.935732140507828</v>
      </c>
      <c r="G9" s="11"/>
    </row>
    <row r="10" ht="20.05" customHeight="1">
      <c r="B10" s="29"/>
      <c r="C10" s="12">
        <v>32714</v>
      </c>
      <c r="D10" s="13"/>
      <c r="E10" s="11">
        <f>C10/C9-1</f>
        <v>0.0759768451519537</v>
      </c>
      <c r="F10" s="11">
        <f>('Cashflow '!C10+'Cashflow '!D10-'Cashflow '!E10-C10)/C10</f>
        <v>-0.999663752521856</v>
      </c>
      <c r="G10" s="11"/>
    </row>
    <row r="11" ht="20.05" customHeight="1">
      <c r="B11" s="29"/>
      <c r="C11" s="12">
        <v>43741</v>
      </c>
      <c r="D11" s="13"/>
      <c r="E11" s="11">
        <f>C11/C10-1</f>
        <v>0.337072812862994</v>
      </c>
      <c r="F11" s="11">
        <f>('Cashflow '!C11+'Cashflow '!D11-'Cashflow '!E11-C11)/C11</f>
        <v>-1.11035412999246</v>
      </c>
      <c r="G11" s="11">
        <f>AVERAGE(F8:F11)</f>
        <v>-0.954507747447379</v>
      </c>
    </row>
    <row r="12" ht="20.05" customHeight="1">
      <c r="B12" s="30">
        <v>2017</v>
      </c>
      <c r="C12" s="12">
        <v>35714</v>
      </c>
      <c r="D12" s="13"/>
      <c r="E12" s="11">
        <f>C12/C11-1</f>
        <v>-0.183512036761848</v>
      </c>
      <c r="F12" s="11">
        <f>('Cashflow '!C12+'Cashflow '!D12-'Cashflow '!E12-C12)/C12</f>
        <v>-0.733409867278938</v>
      </c>
      <c r="G12" s="11">
        <f>AVERAGE(F9:F12)</f>
        <v>-0.944789972575271</v>
      </c>
    </row>
    <row r="13" ht="20.05" customHeight="1">
      <c r="B13" s="29"/>
      <c r="C13" s="12">
        <v>37955</v>
      </c>
      <c r="D13" s="13"/>
      <c r="E13" s="11">
        <f>C13/C12-1</f>
        <v>0.0627485019880159</v>
      </c>
      <c r="F13" s="11">
        <f>('Cashflow '!C13+'Cashflow '!D13-'Cashflow '!E13-C13)/C13</f>
        <v>-0.8912659728626</v>
      </c>
      <c r="G13" s="11">
        <f>AVERAGE(F10:F13)</f>
        <v>-0.933673430663964</v>
      </c>
    </row>
    <row r="14" ht="20.05" customHeight="1">
      <c r="B14" s="29"/>
      <c r="C14" s="12">
        <v>43744</v>
      </c>
      <c r="D14" s="13"/>
      <c r="E14" s="11">
        <f>C14/C13-1</f>
        <v>0.152522724278751</v>
      </c>
      <c r="F14" s="11">
        <f>('Cashflow '!C14+'Cashflow '!D14-'Cashflow '!E14-C14)/C14</f>
        <v>-0.8919394659839061</v>
      </c>
      <c r="G14" s="11">
        <f>AVERAGE(F11:F14)</f>
        <v>-0.906742359029476</v>
      </c>
    </row>
    <row r="15" ht="20.05" customHeight="1">
      <c r="B15" s="29"/>
      <c r="C15" s="12">
        <v>60453</v>
      </c>
      <c r="D15" s="13"/>
      <c r="E15" s="11">
        <f>C15/C14-1</f>
        <v>0.381972384784199</v>
      </c>
      <c r="F15" s="11">
        <f>('Cashflow '!C15+'Cashflow '!D15-'Cashflow '!E15-C15)/C15</f>
        <v>-0.988255338858287</v>
      </c>
      <c r="G15" s="11">
        <f>AVERAGE(F12:F15)</f>
        <v>-0.876217661245933</v>
      </c>
    </row>
    <row r="16" ht="20.05" customHeight="1">
      <c r="B16" s="30">
        <v>2018</v>
      </c>
      <c r="C16" s="12">
        <v>51042</v>
      </c>
      <c r="D16" s="13"/>
      <c r="E16" s="11">
        <f>C16/C15-1</f>
        <v>-0.155674656344598</v>
      </c>
      <c r="F16" s="11">
        <f>('Cashflow '!C16+'Cashflow '!D16-'Cashflow '!E16-C16)/C16</f>
        <v>-0.710924336820657</v>
      </c>
      <c r="G16" s="11">
        <f>AVERAGE(F13:F16)</f>
        <v>-0.870596278631363</v>
      </c>
    </row>
    <row r="17" ht="20.05" customHeight="1">
      <c r="B17" s="29"/>
      <c r="C17" s="12">
        <v>52886</v>
      </c>
      <c r="D17" s="13"/>
      <c r="E17" s="11">
        <f>C17/C16-1</f>
        <v>0.036127111006622</v>
      </c>
      <c r="F17" s="11">
        <f>('Cashflow '!C17+'Cashflow '!D17-'Cashflow '!E17-C17)/C17</f>
        <v>-0.852229323450441</v>
      </c>
      <c r="G17" s="11">
        <f>AVERAGE(F14:F17)</f>
        <v>-0.860837116278323</v>
      </c>
    </row>
    <row r="18" ht="20.05" customHeight="1">
      <c r="B18" s="29"/>
      <c r="C18" s="12">
        <v>56576</v>
      </c>
      <c r="D18" s="13"/>
      <c r="E18" s="11">
        <f>C18/C17-1</f>
        <v>0.069772718677911</v>
      </c>
      <c r="F18" s="11">
        <f>('Cashflow '!C18+'Cashflow '!D18-'Cashflow '!E18-C18)/C18</f>
        <v>-0.868601527149321</v>
      </c>
      <c r="G18" s="11">
        <f>AVERAGE(F15:F18)</f>
        <v>-0.855002631569677</v>
      </c>
    </row>
    <row r="19" ht="20.05" customHeight="1">
      <c r="B19" s="29"/>
      <c r="C19" s="12">
        <v>72383</v>
      </c>
      <c r="D19" s="13"/>
      <c r="E19" s="11">
        <f>C19/C18-1</f>
        <v>0.279394089366516</v>
      </c>
      <c r="F19" s="11">
        <f>('Cashflow '!C19+'Cashflow '!D19-'Cashflow '!E19-C19)/C19</f>
        <v>-0.987082602268488</v>
      </c>
      <c r="G19" s="11">
        <f>AVERAGE(F16:F19)</f>
        <v>-0.854709447422227</v>
      </c>
    </row>
    <row r="20" ht="20.05" customHeight="1">
      <c r="B20" s="30">
        <v>2019</v>
      </c>
      <c r="C20" s="12">
        <v>59700</v>
      </c>
      <c r="D20" s="13"/>
      <c r="E20" s="11">
        <f>C20/C19-1</f>
        <v>-0.175220700993327</v>
      </c>
      <c r="F20" s="11">
        <f>('Cashflow '!C20+'Cashflow '!D20-'Cashflow '!E20-C20)/C20</f>
        <v>-0.7063316582914571</v>
      </c>
      <c r="G20" s="11">
        <f>AVERAGE(F17:F20)</f>
        <v>-0.853561277789927</v>
      </c>
    </row>
    <row r="21" ht="20.05" customHeight="1">
      <c r="B21" s="29"/>
      <c r="C21" s="12">
        <v>63404</v>
      </c>
      <c r="D21" s="13"/>
      <c r="E21" s="11">
        <f>C21/C20-1</f>
        <v>0.0620435510887772</v>
      </c>
      <c r="F21" s="11">
        <f>('Cashflow '!C21+'Cashflow '!D21-'Cashflow '!E21-C21)/C21</f>
        <v>-0.834726515677244</v>
      </c>
      <c r="G21" s="11">
        <f>AVERAGE(F18:F21)</f>
        <v>-0.849185575846628</v>
      </c>
    </row>
    <row r="22" ht="20.05" customHeight="1">
      <c r="B22" s="29"/>
      <c r="C22" s="12">
        <v>69981</v>
      </c>
      <c r="D22" s="13"/>
      <c r="E22" s="11">
        <f>C22/C21-1</f>
        <v>0.103731625764936</v>
      </c>
      <c r="F22" s="11">
        <f>('Cashflow '!C22+'Cashflow '!D22-'Cashflow '!E22-C22)/C22</f>
        <v>-0.841957102642146</v>
      </c>
      <c r="G22" s="11">
        <f>AVERAGE(F19:F22)</f>
        <v>-0.842524469719834</v>
      </c>
    </row>
    <row r="23" ht="20.05" customHeight="1">
      <c r="B23" s="29"/>
      <c r="C23" s="12">
        <v>87437</v>
      </c>
      <c r="D23" s="13"/>
      <c r="E23" s="11">
        <f>C23/C22-1</f>
        <v>0.249439133479087</v>
      </c>
      <c r="F23" s="11">
        <f>('Cashflow '!C23+'Cashflow '!D23-'Cashflow '!E23-C23)/C23</f>
        <v>-0.96686757322415</v>
      </c>
      <c r="G23" s="11">
        <f>AVERAGE(F20:F23)</f>
        <v>-0.837470712458749</v>
      </c>
    </row>
    <row r="24" ht="20.05" customHeight="1">
      <c r="B24" s="30">
        <v>2020</v>
      </c>
      <c r="C24" s="12">
        <v>75452</v>
      </c>
      <c r="D24" s="13">
        <v>68655</v>
      </c>
      <c r="E24" s="11">
        <f>C24/C23-1</f>
        <v>-0.13707011905715</v>
      </c>
      <c r="F24" s="11">
        <f>('Cashflow '!C24+'Cashflow '!D24-'Cashflow '!E24-C24)/C24</f>
        <v>-0.784710809521285</v>
      </c>
      <c r="G24" s="11">
        <f>AVERAGE(F21:F24)</f>
        <v>-0.857065500266206</v>
      </c>
    </row>
    <row r="25" ht="20.05" customHeight="1">
      <c r="B25" s="29"/>
      <c r="C25" s="12">
        <v>88912</v>
      </c>
      <c r="D25" s="13">
        <v>76084.8</v>
      </c>
      <c r="E25" s="11">
        <f>C25/C24-1</f>
        <v>0.178391560197211</v>
      </c>
      <c r="F25" s="11">
        <f>('Cashflow '!C25+'Cashflow '!D25-'Cashflow '!E25-C25)/C25</f>
        <v>-0.926016735648731</v>
      </c>
      <c r="G25" s="11">
        <f>AVERAGE(F22:F25)</f>
        <v>-0.879888055259078</v>
      </c>
    </row>
    <row r="26" ht="20.05" customHeight="1">
      <c r="B26" s="29"/>
      <c r="C26" s="12">
        <v>96145</v>
      </c>
      <c r="D26" s="13">
        <v>88875.87</v>
      </c>
      <c r="E26" s="11">
        <f>C26/C25-1</f>
        <v>0.0813500989742667</v>
      </c>
      <c r="F26" s="11">
        <f>('Cashflow '!C26+'Cashflow '!D26-'Cashflow '!E26-C26)/C26</f>
        <v>-0.823786988402933</v>
      </c>
      <c r="G26" s="11">
        <f>AVERAGE(F23:F26)</f>
        <v>-0.875345526699275</v>
      </c>
    </row>
    <row r="27" ht="20.05" customHeight="1">
      <c r="B27" s="29"/>
      <c r="C27" s="16">
        <v>125555</v>
      </c>
      <c r="D27" s="13">
        <v>120181</v>
      </c>
      <c r="E27" s="11">
        <f>C27/C26-1</f>
        <v>0.305892142077071</v>
      </c>
      <c r="F27" s="11">
        <f>('Cashflow '!C27+'Cashflow '!D27-'Cashflow '!E27-C27)/C27</f>
        <v>-1.02011867309147</v>
      </c>
      <c r="G27" s="11">
        <f>AVERAGE(F24:F27)</f>
        <v>-0.888658301666105</v>
      </c>
    </row>
    <row r="28" ht="20.05" customHeight="1">
      <c r="B28" s="30">
        <v>2021</v>
      </c>
      <c r="C28" s="16">
        <v>108518</v>
      </c>
      <c r="D28" s="13">
        <v>107977.3</v>
      </c>
      <c r="E28" s="11">
        <f>C28/C27-1</f>
        <v>-0.135693520767791</v>
      </c>
      <c r="F28" s="11">
        <f>('Cashflow '!C28+'Cashflow '!D28-'Cashflow '!E28-C28)/C28</f>
        <v>-0.7034316887520961</v>
      </c>
      <c r="G28" s="11">
        <f>AVERAGE(F25:F28)</f>
        <v>-0.868338521473808</v>
      </c>
    </row>
    <row r="29" ht="20.05" customHeight="1">
      <c r="B29" s="29"/>
      <c r="C29" s="12">
        <v>113080</v>
      </c>
      <c r="D29" s="13">
        <v>113943.9</v>
      </c>
      <c r="E29" s="11">
        <f>C29/C28-1</f>
        <v>0.0420391087192908</v>
      </c>
      <c r="F29" s="11">
        <f>('Cashflow '!C29+'Cashflow '!D29-'Cashflow '!E29-C29)/C29</f>
        <v>-0.778731871241599</v>
      </c>
      <c r="G29" s="11">
        <f>AVERAGE(F26:F29)</f>
        <v>-0.831517305372025</v>
      </c>
    </row>
    <row r="30" ht="20.05" customHeight="1">
      <c r="B30" s="29"/>
      <c r="C30" s="12">
        <v>110812</v>
      </c>
      <c r="D30" s="13">
        <v>122126.4</v>
      </c>
      <c r="E30" s="11">
        <f>C30/C29-1</f>
        <v>-0.0200565970993987</v>
      </c>
      <c r="F30" s="11">
        <f>('Cashflow '!C30+'Cashflow '!D30-'Cashflow '!E30-C30)/C30</f>
        <v>-0.767164206042667</v>
      </c>
      <c r="G30" s="11">
        <f>AVERAGE(F27:F30)</f>
        <v>-0.817361609781958</v>
      </c>
    </row>
    <row r="31" ht="20.05" customHeight="1">
      <c r="B31" s="29"/>
      <c r="C31" s="12"/>
      <c r="D31" s="13">
        <f>'Model'!C6</f>
        <v>137406.88</v>
      </c>
      <c r="E31" s="15"/>
      <c r="F31" s="11"/>
      <c r="G31" s="11">
        <f>'Model'!C7</f>
        <v>-0.817361609781958</v>
      </c>
    </row>
    <row r="32" ht="20.05" customHeight="1">
      <c r="B32" s="30">
        <v>2022</v>
      </c>
      <c r="C32" s="12"/>
      <c r="D32" s="13">
        <f>SUM('Model'!D6)</f>
        <v>125040.2608</v>
      </c>
      <c r="E32" s="15"/>
      <c r="F32" s="11"/>
      <c r="G32" s="11"/>
    </row>
    <row r="33" ht="20.05" customHeight="1">
      <c r="B33" s="29"/>
      <c r="C33" s="12"/>
      <c r="D33" s="13">
        <f>'Model'!E6</f>
        <v>131292.27384</v>
      </c>
      <c r="E33" s="15"/>
      <c r="F33" s="11"/>
      <c r="G33" s="11"/>
    </row>
    <row r="34" ht="20.05" customHeight="1">
      <c r="B34" s="29"/>
      <c r="C34" s="12"/>
      <c r="D34" s="13">
        <f>'Model'!F6</f>
        <v>137856.887532</v>
      </c>
      <c r="E34" s="15"/>
      <c r="F34" s="11"/>
      <c r="G34" s="11"/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9688" style="31" customWidth="1"/>
    <col min="2" max="2" width="10.9922" style="31" customWidth="1"/>
    <col min="3" max="13" width="11.0312" style="31" customWidth="1"/>
    <col min="14" max="16384" width="16.3516" style="31" customWidth="1"/>
  </cols>
  <sheetData>
    <row r="1" ht="51.8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4">
        <v>1</v>
      </c>
      <c r="C3" t="s" s="4">
        <v>46</v>
      </c>
      <c r="D3" t="s" s="4">
        <v>47</v>
      </c>
      <c r="E3" t="s" s="4">
        <v>48</v>
      </c>
      <c r="F3" t="s" s="4">
        <v>49</v>
      </c>
      <c r="G3" t="s" s="4">
        <v>10</v>
      </c>
      <c r="H3" t="s" s="4">
        <v>8</v>
      </c>
      <c r="I3" t="s" s="4">
        <v>9</v>
      </c>
      <c r="J3" t="s" s="4">
        <v>50</v>
      </c>
      <c r="K3" t="s" s="4">
        <v>51</v>
      </c>
      <c r="L3" t="s" s="4">
        <v>34</v>
      </c>
      <c r="M3" t="s" s="4">
        <v>30</v>
      </c>
    </row>
    <row r="4" ht="20.35" customHeight="1">
      <c r="B4" s="25">
        <v>2015</v>
      </c>
      <c r="C4" s="32">
        <v>-57</v>
      </c>
      <c r="D4" s="33">
        <v>1426</v>
      </c>
      <c r="E4" s="33">
        <f>H4-D4-C4</f>
        <v>-2868</v>
      </c>
      <c r="F4" s="33">
        <v>-871</v>
      </c>
      <c r="G4" s="33"/>
      <c r="H4" s="33">
        <v>-1499</v>
      </c>
      <c r="I4" s="33">
        <v>-1847</v>
      </c>
      <c r="J4" s="33">
        <v>-652</v>
      </c>
      <c r="K4" s="33">
        <f>H4+F4+G4</f>
        <v>-2370</v>
      </c>
      <c r="L4" s="33"/>
      <c r="M4" s="33">
        <f>-(J4-G4)</f>
        <v>652</v>
      </c>
    </row>
    <row r="5" ht="20.15" customHeight="1">
      <c r="B5" s="29"/>
      <c r="C5" s="16">
        <v>92</v>
      </c>
      <c r="D5" s="17">
        <v>1504</v>
      </c>
      <c r="E5" s="17">
        <f>H5-D5-C5</f>
        <v>401</v>
      </c>
      <c r="F5" s="17">
        <v>-1213</v>
      </c>
      <c r="G5" s="17"/>
      <c r="H5" s="17">
        <v>1997</v>
      </c>
      <c r="I5" s="17">
        <v>-1376</v>
      </c>
      <c r="J5" s="17">
        <v>-692</v>
      </c>
      <c r="K5" s="17">
        <f>H5+F5+G5</f>
        <v>784</v>
      </c>
      <c r="L5" s="17"/>
      <c r="M5" s="17">
        <f>-(J5-G5)+M4</f>
        <v>1344</v>
      </c>
    </row>
    <row r="6" ht="20.15" customHeight="1">
      <c r="B6" s="29"/>
      <c r="C6" s="16">
        <v>79</v>
      </c>
      <c r="D6" s="17">
        <v>1599</v>
      </c>
      <c r="E6" s="17">
        <f>H6-D6-C6</f>
        <v>932</v>
      </c>
      <c r="F6" s="17">
        <v>-1195</v>
      </c>
      <c r="G6" s="17"/>
      <c r="H6" s="17">
        <v>2610</v>
      </c>
      <c r="I6" s="17">
        <v>-1377</v>
      </c>
      <c r="J6" s="17">
        <v>-729</v>
      </c>
      <c r="K6" s="17">
        <f>H6+F6+G6</f>
        <v>1415</v>
      </c>
      <c r="L6" s="17"/>
      <c r="M6" s="17">
        <f>-(J6-G6)+M5</f>
        <v>2073</v>
      </c>
    </row>
    <row r="7" ht="20.15" customHeight="1">
      <c r="B7" s="29"/>
      <c r="C7" s="16">
        <v>482</v>
      </c>
      <c r="D7" s="17">
        <v>1752</v>
      </c>
      <c r="E7" s="17">
        <f>H7-D7-C7</f>
        <v>6578</v>
      </c>
      <c r="F7" s="17">
        <v>-1310</v>
      </c>
      <c r="G7" s="17"/>
      <c r="H7" s="17">
        <v>8812</v>
      </c>
      <c r="I7" s="17">
        <v>-1850</v>
      </c>
      <c r="J7" s="17">
        <v>-1690</v>
      </c>
      <c r="K7" s="17">
        <f>H7+F7+G7</f>
        <v>7502</v>
      </c>
      <c r="L7" s="17"/>
      <c r="M7" s="17">
        <f>-(J7-G7)+M6</f>
        <v>3763</v>
      </c>
    </row>
    <row r="8" ht="20.15" customHeight="1">
      <c r="B8" s="30">
        <v>2016</v>
      </c>
      <c r="C8" s="16">
        <v>513</v>
      </c>
      <c r="D8" s="17">
        <v>1827</v>
      </c>
      <c r="E8" s="17">
        <f>H8-D8-C8</f>
        <v>-4293</v>
      </c>
      <c r="F8" s="17">
        <v>-1179</v>
      </c>
      <c r="G8" s="17"/>
      <c r="H8" s="17">
        <v>-1953</v>
      </c>
      <c r="I8" s="17">
        <v>-693</v>
      </c>
      <c r="J8" s="17">
        <v>-996</v>
      </c>
      <c r="K8" s="17">
        <f>H8+F8+G8</f>
        <v>-3132</v>
      </c>
      <c r="L8" s="17">
        <f>AVERAGE(K5:K8)</f>
        <v>1642.25</v>
      </c>
      <c r="M8" s="17">
        <f>-(J8-G8)+M7</f>
        <v>4759</v>
      </c>
    </row>
    <row r="9" ht="20.15" customHeight="1">
      <c r="B9" s="29"/>
      <c r="C9" s="16">
        <v>857</v>
      </c>
      <c r="D9" s="17">
        <v>1909</v>
      </c>
      <c r="E9" s="17">
        <f>H9-D9-C9</f>
        <v>812</v>
      </c>
      <c r="F9" s="17">
        <v>-1711</v>
      </c>
      <c r="G9" s="17"/>
      <c r="H9" s="17">
        <v>3578</v>
      </c>
      <c r="I9" s="17">
        <v>-2439</v>
      </c>
      <c r="J9" s="17">
        <v>-1152</v>
      </c>
      <c r="K9" s="17">
        <f>H9+F9+G9</f>
        <v>1867</v>
      </c>
      <c r="L9" s="17">
        <f>AVERAGE(K6:K9)</f>
        <v>1913</v>
      </c>
      <c r="M9" s="17">
        <f>-(J9-G9)+M8</f>
        <v>5911</v>
      </c>
    </row>
    <row r="10" ht="20.15" customHeight="1">
      <c r="B10" s="29"/>
      <c r="C10" s="16">
        <v>252</v>
      </c>
      <c r="D10" s="17">
        <v>2083</v>
      </c>
      <c r="E10" s="17">
        <f>H10-D10-C10</f>
        <v>2324</v>
      </c>
      <c r="F10" s="17">
        <v>-1841</v>
      </c>
      <c r="G10" s="17"/>
      <c r="H10" s="17">
        <v>4659</v>
      </c>
      <c r="I10" s="17">
        <v>-2570</v>
      </c>
      <c r="J10" s="17">
        <v>-1000</v>
      </c>
      <c r="K10" s="17">
        <f>H10+F10+G10</f>
        <v>2818</v>
      </c>
      <c r="L10" s="17">
        <f>AVERAGE(K7:K10)</f>
        <v>2263.75</v>
      </c>
      <c r="M10" s="17">
        <f>-(J10-G10)+M9</f>
        <v>6911</v>
      </c>
    </row>
    <row r="11" ht="20.15" customHeight="1">
      <c r="B11" s="29"/>
      <c r="C11" s="16">
        <v>749</v>
      </c>
      <c r="D11" s="17">
        <v>2297</v>
      </c>
      <c r="E11" s="17">
        <f>H11-D11-C11</f>
        <v>7873</v>
      </c>
      <c r="F11" s="17">
        <v>-2006</v>
      </c>
      <c r="G11" s="17"/>
      <c r="H11" s="17">
        <v>10919</v>
      </c>
      <c r="I11" s="17">
        <v>-3814</v>
      </c>
      <c r="J11" s="17">
        <v>-568</v>
      </c>
      <c r="K11" s="17">
        <f>H11+F11+G11</f>
        <v>8913</v>
      </c>
      <c r="L11" s="17">
        <f>AVERAGE(K8:K11)</f>
        <v>2616.5</v>
      </c>
      <c r="M11" s="17">
        <f>-(J11-G11)+M10</f>
        <v>7479</v>
      </c>
    </row>
    <row r="12" ht="20.15" customHeight="1">
      <c r="B12" s="30">
        <v>2017</v>
      </c>
      <c r="C12" s="16">
        <v>724</v>
      </c>
      <c r="D12" s="17">
        <v>3227</v>
      </c>
      <c r="E12" s="17">
        <f>H12-D12-C12</f>
        <v>-5570</v>
      </c>
      <c r="F12" s="17">
        <f>287-2148</f>
        <v>-1861</v>
      </c>
      <c r="G12" s="17">
        <v>-832</v>
      </c>
      <c r="H12" s="17">
        <v>-1619</v>
      </c>
      <c r="I12" s="17">
        <v>-1350</v>
      </c>
      <c r="J12" s="17">
        <v>-888</v>
      </c>
      <c r="K12" s="17">
        <f>H12+F12+G12</f>
        <v>-4312</v>
      </c>
      <c r="L12" s="17">
        <f>AVERAGE(K9:K12)</f>
        <v>2321.5</v>
      </c>
      <c r="M12" s="17">
        <f>-(J12-G12)+M11</f>
        <v>7535</v>
      </c>
    </row>
    <row r="13" ht="20.15" customHeight="1">
      <c r="B13" s="29"/>
      <c r="C13" s="16">
        <v>197</v>
      </c>
      <c r="D13" s="17">
        <v>3791</v>
      </c>
      <c r="E13" s="17">
        <f>H13-D13-C13</f>
        <v>-139</v>
      </c>
      <c r="F13" s="17">
        <f>612-3113</f>
        <v>-2501</v>
      </c>
      <c r="G13" s="17">
        <v>-1228</v>
      </c>
      <c r="H13" s="17">
        <v>3849</v>
      </c>
      <c r="I13" s="17">
        <v>-5274</v>
      </c>
      <c r="J13" s="17">
        <v>-1275</v>
      </c>
      <c r="K13" s="17">
        <f>H13+F13+G13</f>
        <v>120</v>
      </c>
      <c r="L13" s="17">
        <f>AVERAGE(K10:K13)</f>
        <v>1884.75</v>
      </c>
      <c r="M13" s="17">
        <f>-(J13-G13)+M12</f>
        <v>7582</v>
      </c>
    </row>
    <row r="14" ht="20.15" customHeight="1">
      <c r="B14" s="29"/>
      <c r="C14" s="16">
        <v>255</v>
      </c>
      <c r="D14" s="17">
        <v>3997</v>
      </c>
      <c r="E14" s="17">
        <f>H14-D14-C14</f>
        <v>-475</v>
      </c>
      <c r="F14" s="17">
        <f>415-3074</f>
        <v>-2659</v>
      </c>
      <c r="G14" s="17">
        <v>-1267</v>
      </c>
      <c r="H14" s="17">
        <v>3777</v>
      </c>
      <c r="I14" s="17">
        <v>-18479</v>
      </c>
      <c r="J14" s="17">
        <v>14662</v>
      </c>
      <c r="K14" s="17">
        <f>H14+F14+G14</f>
        <v>-149</v>
      </c>
      <c r="L14" s="17">
        <f>AVERAGE(K11:K14)</f>
        <v>1143</v>
      </c>
      <c r="M14" s="17">
        <f>-(J14-G14)+M13</f>
        <v>-8347</v>
      </c>
    </row>
    <row r="15" ht="20.15" customHeight="1">
      <c r="B15" s="29"/>
      <c r="C15" s="16">
        <v>1857</v>
      </c>
      <c r="D15" s="17">
        <v>4677</v>
      </c>
      <c r="E15" s="17">
        <f>H15-D15-C15</f>
        <v>5824</v>
      </c>
      <c r="F15" s="17">
        <f>583-3619</f>
        <v>-3036</v>
      </c>
      <c r="G15" s="17">
        <v>-1472</v>
      </c>
      <c r="H15" s="17">
        <v>12358</v>
      </c>
      <c r="I15" s="17">
        <v>-1981</v>
      </c>
      <c r="J15" s="17">
        <v>-2571</v>
      </c>
      <c r="K15" s="17">
        <f>H15+F15+G15</f>
        <v>7850</v>
      </c>
      <c r="L15" s="17">
        <f>AVERAGE(K12:K15)</f>
        <v>877.25</v>
      </c>
      <c r="M15" s="17">
        <f>-(J15-G15)+M14</f>
        <v>-7248</v>
      </c>
    </row>
    <row r="16" ht="20.15" customHeight="1">
      <c r="B16" s="30">
        <v>2018</v>
      </c>
      <c r="C16" s="16">
        <v>1629</v>
      </c>
      <c r="D16" s="17">
        <v>4853</v>
      </c>
      <c r="E16" s="17">
        <f>H16-D16-C16</f>
        <v>-8273</v>
      </c>
      <c r="F16" s="17">
        <f>371-3098</f>
        <v>-2727</v>
      </c>
      <c r="G16" s="17">
        <v>-2015</v>
      </c>
      <c r="H16" s="17">
        <v>-1791</v>
      </c>
      <c r="I16" s="17">
        <v>-533</v>
      </c>
      <c r="J16" s="17">
        <v>-2164</v>
      </c>
      <c r="K16" s="17">
        <f>H16+F16+G16</f>
        <v>-6533</v>
      </c>
      <c r="L16" s="17">
        <f>AVERAGE(K13:K16)</f>
        <v>322</v>
      </c>
      <c r="M16" s="17">
        <f>-(J16-G16)+M15</f>
        <v>-7099</v>
      </c>
    </row>
    <row r="17" ht="20.15" customHeight="1">
      <c r="B17" s="29"/>
      <c r="C17" s="16">
        <v>2534</v>
      </c>
      <c r="D17" s="17">
        <v>5098</v>
      </c>
      <c r="E17" s="17">
        <f>H17-D17-C17</f>
        <v>-183</v>
      </c>
      <c r="F17" s="17">
        <f>294-3243</f>
        <v>-2949</v>
      </c>
      <c r="G17" s="17">
        <v>-1284</v>
      </c>
      <c r="H17" s="17">
        <v>7449</v>
      </c>
      <c r="I17" s="17">
        <v>-2692</v>
      </c>
      <c r="J17" s="17">
        <v>-1392</v>
      </c>
      <c r="K17" s="17">
        <f>H17+F17+G17</f>
        <v>3216</v>
      </c>
      <c r="L17" s="17">
        <f>AVERAGE(K14:K17)</f>
        <v>1096</v>
      </c>
      <c r="M17" s="17">
        <f>-(J17-G17)+M16</f>
        <v>-6991</v>
      </c>
    </row>
    <row r="18" ht="20.15" customHeight="1">
      <c r="B18" s="29"/>
      <c r="C18" s="16">
        <v>2883</v>
      </c>
      <c r="D18" s="17">
        <v>5128</v>
      </c>
      <c r="E18" s="17">
        <f>H18-D18-C18</f>
        <v>577</v>
      </c>
      <c r="F18" s="17">
        <f>825-3352</f>
        <v>-2527</v>
      </c>
      <c r="G18" s="17">
        <v>-2247</v>
      </c>
      <c r="H18" s="17">
        <v>8588</v>
      </c>
      <c r="I18" s="17">
        <v>8797</v>
      </c>
      <c r="J18" s="17">
        <v>5925</v>
      </c>
      <c r="K18" s="17">
        <f>H18+F18+G18</f>
        <v>3814</v>
      </c>
      <c r="L18" s="17">
        <f>AVERAGE(K15:K18)</f>
        <v>2086.75</v>
      </c>
      <c r="M18" s="17">
        <f>-(J18-G18)+M17</f>
        <v>-15163</v>
      </c>
    </row>
    <row r="19" ht="20.15" customHeight="1">
      <c r="B19" s="29"/>
      <c r="C19" s="16">
        <v>3027</v>
      </c>
      <c r="D19" s="17">
        <v>5679</v>
      </c>
      <c r="E19" s="17">
        <f>H19-D19-C19</f>
        <v>7771</v>
      </c>
      <c r="F19" s="17">
        <f>614-3733</f>
        <v>-3119</v>
      </c>
      <c r="G19" s="17">
        <v>-1906</v>
      </c>
      <c r="H19" s="17">
        <v>16477</v>
      </c>
      <c r="I19" s="17">
        <v>-17941</v>
      </c>
      <c r="J19" s="17">
        <v>-10055</v>
      </c>
      <c r="K19" s="17">
        <f>H19+F19+G19</f>
        <v>11452</v>
      </c>
      <c r="L19" s="17">
        <f>AVERAGE(K16:K19)</f>
        <v>2987.25</v>
      </c>
      <c r="M19" s="17">
        <f>-(J19-G19)+M18</f>
        <v>-7014</v>
      </c>
    </row>
    <row r="20" ht="20.15" customHeight="1">
      <c r="B20" s="30">
        <v>2019</v>
      </c>
      <c r="C20" s="16">
        <v>3561</v>
      </c>
      <c r="D20" s="17">
        <v>6128</v>
      </c>
      <c r="E20" s="17">
        <f>H20-D20-C20</f>
        <v>-7843</v>
      </c>
      <c r="F20" s="17">
        <f>569-3290</f>
        <v>-2721</v>
      </c>
      <c r="G20" s="17">
        <v>-2214</v>
      </c>
      <c r="H20" s="17">
        <v>1846</v>
      </c>
      <c r="I20" s="17">
        <v>-8123</v>
      </c>
      <c r="J20" s="17">
        <v>-2377</v>
      </c>
      <c r="K20" s="17">
        <f>H20+F20+G20</f>
        <v>-3089</v>
      </c>
      <c r="L20" s="17">
        <f>AVERAGE(K17:K20)</f>
        <v>3848.25</v>
      </c>
      <c r="M20" s="17">
        <f>-(J20-G20)+M19</f>
        <v>-6851</v>
      </c>
    </row>
    <row r="21" ht="20.15" customHeight="1">
      <c r="B21" s="29"/>
      <c r="C21" s="16">
        <v>2625</v>
      </c>
      <c r="D21" s="17">
        <v>7173</v>
      </c>
      <c r="E21" s="17">
        <f>H21-D21-C21</f>
        <v>-681</v>
      </c>
      <c r="F21" s="17">
        <f>919-3562</f>
        <v>-2643</v>
      </c>
      <c r="G21" s="17">
        <v>-2327</v>
      </c>
      <c r="H21" s="17">
        <v>9117</v>
      </c>
      <c r="I21" s="17">
        <v>-7549</v>
      </c>
      <c r="J21" s="17">
        <v>-2158</v>
      </c>
      <c r="K21" s="17">
        <f>H21+F21+G21</f>
        <v>4147</v>
      </c>
      <c r="L21" s="17">
        <f>AVERAGE(K18:K21)</f>
        <v>4081</v>
      </c>
      <c r="M21" s="17">
        <f>-(J21-G21)+M20</f>
        <v>-7020</v>
      </c>
    </row>
    <row r="22" ht="20.15" customHeight="1">
      <c r="B22" s="29"/>
      <c r="C22" s="16">
        <v>2134</v>
      </c>
      <c r="D22" s="17">
        <v>7342</v>
      </c>
      <c r="E22" s="17">
        <f>H22-D22-C22</f>
        <v>-1584</v>
      </c>
      <c r="F22" s="17">
        <f>1312-4697</f>
        <v>-3385</v>
      </c>
      <c r="G22" s="17">
        <v>-2307</v>
      </c>
      <c r="H22" s="17">
        <v>7892</v>
      </c>
      <c r="I22" s="17">
        <v>20746</v>
      </c>
      <c r="J22" s="17">
        <v>6495</v>
      </c>
      <c r="K22" s="17">
        <f>H22+F22+G22</f>
        <v>2200</v>
      </c>
      <c r="L22" s="17">
        <f>AVERAGE(K19:K22)</f>
        <v>3677.5</v>
      </c>
      <c r="M22" s="17">
        <f>-(J22-G22)+M21</f>
        <v>-15822</v>
      </c>
    </row>
    <row r="23" ht="20.15" customHeight="1">
      <c r="B23" s="29"/>
      <c r="C23" s="16">
        <v>3268</v>
      </c>
      <c r="D23" s="17">
        <v>8010</v>
      </c>
      <c r="E23" s="17">
        <f>H23-D23-C23</f>
        <v>8381</v>
      </c>
      <c r="F23" s="17">
        <f>-5312+1371</f>
        <v>-3941</v>
      </c>
      <c r="G23" s="17">
        <v>-2780</v>
      </c>
      <c r="H23" s="17">
        <v>19659</v>
      </c>
      <c r="I23" s="17">
        <v>-29355</v>
      </c>
      <c r="J23" s="17">
        <v>-12026</v>
      </c>
      <c r="K23" s="17">
        <f>H23+F23+G23</f>
        <v>12938</v>
      </c>
      <c r="L23" s="17">
        <f>AVERAGE(K20:K23)</f>
        <v>4049</v>
      </c>
      <c r="M23" s="17">
        <f>-(J23-G23)+M22</f>
        <v>-6576</v>
      </c>
    </row>
    <row r="24" ht="20.15" customHeight="1">
      <c r="B24" s="30">
        <v>2020</v>
      </c>
      <c r="C24" s="16">
        <v>2535</v>
      </c>
      <c r="D24" s="17">
        <v>7119</v>
      </c>
      <c r="E24" s="17">
        <f>H24-D24-C24</f>
        <v>-6590</v>
      </c>
      <c r="F24" s="17">
        <f>1367-6795</f>
        <v>-5428</v>
      </c>
      <c r="G24" s="17">
        <v>-2600</v>
      </c>
      <c r="H24" s="17">
        <v>3064</v>
      </c>
      <c r="I24" s="17">
        <v>-8894</v>
      </c>
      <c r="J24" s="17">
        <v>-2591</v>
      </c>
      <c r="K24" s="17">
        <f>H24+F24+G24</f>
        <v>-4964</v>
      </c>
      <c r="L24" s="17">
        <f>AVERAGE(K21:K24)</f>
        <v>3580.25</v>
      </c>
      <c r="M24" s="17">
        <f>-(J24-G24)+M23</f>
        <v>-6585</v>
      </c>
    </row>
    <row r="25" ht="20.15" customHeight="1">
      <c r="B25" s="29"/>
      <c r="C25" s="16">
        <v>5243</v>
      </c>
      <c r="D25" s="17">
        <v>8349</v>
      </c>
      <c r="E25" s="17">
        <f>H25-D25-C25</f>
        <v>7014</v>
      </c>
      <c r="F25" s="17">
        <f>844-7459</f>
        <v>-6615</v>
      </c>
      <c r="G25" s="17">
        <v>-2817</v>
      </c>
      <c r="H25" s="17">
        <v>20606</v>
      </c>
      <c r="I25" s="17">
        <v>-17804</v>
      </c>
      <c r="J25" s="17">
        <v>7408</v>
      </c>
      <c r="K25" s="17">
        <f>H25+F25+G25</f>
        <v>11174</v>
      </c>
      <c r="L25" s="17">
        <f>AVERAGE(K22:K25)</f>
        <v>5337</v>
      </c>
      <c r="M25" s="17">
        <f>-(J25-G25)+M24</f>
        <v>-16810</v>
      </c>
    </row>
    <row r="26" ht="20.15" customHeight="1">
      <c r="B26" s="29"/>
      <c r="C26" s="16">
        <v>6331</v>
      </c>
      <c r="D26" s="17">
        <v>8122</v>
      </c>
      <c r="E26" s="17">
        <f>H26-D26-C26</f>
        <v>-2489</v>
      </c>
      <c r="F26" s="17">
        <f>-11063+1255</f>
        <v>-9808</v>
      </c>
      <c r="G26" s="17">
        <v>-2857</v>
      </c>
      <c r="H26" s="17">
        <v>11964</v>
      </c>
      <c r="I26" s="17">
        <v>-15876</v>
      </c>
      <c r="J26" s="17">
        <v>-4105</v>
      </c>
      <c r="K26" s="17">
        <f>H26+F26+G26</f>
        <v>-701</v>
      </c>
      <c r="L26" s="17">
        <f>AVERAGE(K23:K26)</f>
        <v>4611.75</v>
      </c>
      <c r="M26" s="17">
        <f>-(J26-G26)+M25</f>
        <v>-15562</v>
      </c>
    </row>
    <row r="27" ht="20.15" customHeight="1">
      <c r="B27" s="29"/>
      <c r="C27" s="16">
        <v>7222</v>
      </c>
      <c r="D27" s="17">
        <f>7618+2562-487-1327-1636</f>
        <v>6730</v>
      </c>
      <c r="E27" s="17">
        <f>H27-D27-C27</f>
        <v>16478</v>
      </c>
      <c r="F27" s="17">
        <f>-14824+1629</f>
        <v>-13195</v>
      </c>
      <c r="G27" s="17">
        <v>-2368</v>
      </c>
      <c r="H27" s="17">
        <v>30430</v>
      </c>
      <c r="I27" s="17">
        <v>-17038</v>
      </c>
      <c r="J27" s="17">
        <v>-1816</v>
      </c>
      <c r="K27" s="17">
        <f>H27+F27+G27</f>
        <v>14867</v>
      </c>
      <c r="L27" s="17">
        <f>AVERAGE(K24:K27)</f>
        <v>5094</v>
      </c>
      <c r="M27" s="17">
        <f>-(J27-G27)+M26</f>
        <v>-16114</v>
      </c>
    </row>
    <row r="28" ht="20.15" customHeight="1">
      <c r="B28" s="30">
        <v>2021</v>
      </c>
      <c r="C28" s="16">
        <v>8107</v>
      </c>
      <c r="D28" s="17">
        <f>7508+2306+30-1456+1703</f>
        <v>10091</v>
      </c>
      <c r="E28" s="17">
        <f>H28-D28-C28</f>
        <v>-13985</v>
      </c>
      <c r="F28" s="17">
        <v>-12082</v>
      </c>
      <c r="G28" s="17">
        <v>-3406</v>
      </c>
      <c r="H28" s="17">
        <v>4213</v>
      </c>
      <c r="I28" s="17">
        <v>-8666</v>
      </c>
      <c r="J28" s="17">
        <v>-3476</v>
      </c>
      <c r="K28" s="17">
        <f>H28+F28+G28</f>
        <v>-11275</v>
      </c>
      <c r="L28" s="17">
        <f>AVERAGE(K25:K28)</f>
        <v>3516.25</v>
      </c>
      <c r="M28" s="17">
        <f>-(J28-G28)+M27</f>
        <v>-16044</v>
      </c>
    </row>
    <row r="29" ht="20.15" customHeight="1">
      <c r="B29" s="29"/>
      <c r="C29" s="16">
        <v>7778</v>
      </c>
      <c r="D29" s="17">
        <v>11090</v>
      </c>
      <c r="E29" s="17">
        <f>H29-D29-C29</f>
        <v>-6153</v>
      </c>
      <c r="F29" s="17">
        <f>-14288+1300</f>
        <v>-12988</v>
      </c>
      <c r="G29" s="17">
        <v>-2804</v>
      </c>
      <c r="H29" s="17">
        <v>12715</v>
      </c>
      <c r="I29" s="17">
        <v>-22080</v>
      </c>
      <c r="J29" s="17">
        <v>15643</v>
      </c>
      <c r="K29" s="17">
        <f>H29+F29+G29</f>
        <v>-3077</v>
      </c>
      <c r="L29" s="17">
        <f>AVERAGE(K26:K29)</f>
        <v>-46.5</v>
      </c>
      <c r="M29" s="17">
        <f>-(J29-G29)+M28</f>
        <v>-34491</v>
      </c>
    </row>
    <row r="30" ht="20.15" customHeight="1">
      <c r="B30" s="29"/>
      <c r="C30" s="16">
        <v>3156</v>
      </c>
      <c r="D30" s="17">
        <v>13401</v>
      </c>
      <c r="E30" s="17">
        <f>H30-D30-C30</f>
        <v>-9244</v>
      </c>
      <c r="F30" s="17">
        <v>-15748</v>
      </c>
      <c r="G30" s="17">
        <v>-2693</v>
      </c>
      <c r="H30" s="17">
        <v>7313</v>
      </c>
      <c r="I30" s="17">
        <v>-14828</v>
      </c>
      <c r="J30" s="17">
        <v>-2776</v>
      </c>
      <c r="K30" s="17">
        <f>H30+F30+G30</f>
        <v>-11128</v>
      </c>
      <c r="L30" s="17">
        <f>AVERAGE(K27:K30)</f>
        <v>-2653.25</v>
      </c>
      <c r="M30" s="17">
        <f>-(J30-G30)+M29</f>
        <v>-34408</v>
      </c>
    </row>
    <row r="31" ht="20.15" customHeight="1">
      <c r="B31" s="29"/>
      <c r="C31" s="16"/>
      <c r="D31" s="17"/>
      <c r="E31" s="17"/>
      <c r="F31" s="17"/>
      <c r="G31" s="17"/>
      <c r="H31" s="17"/>
      <c r="I31" s="17"/>
      <c r="J31" s="17"/>
      <c r="K31" s="17"/>
      <c r="L31" s="17">
        <f>SUM('Model'!C9:F11)/4</f>
        <v>5831.4732186395</v>
      </c>
      <c r="M31" s="17">
        <f>'Model'!F33</f>
        <v>-11082.107125442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4" customWidth="1"/>
    <col min="2" max="2" width="7.53906" style="34" customWidth="1"/>
    <col min="3" max="11" width="9.98438" style="34" customWidth="1"/>
    <col min="12" max="16384" width="16.3516" style="34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52</v>
      </c>
      <c r="D3" t="s" s="4">
        <v>53</v>
      </c>
      <c r="E3" t="s" s="4">
        <v>54</v>
      </c>
      <c r="F3" t="s" s="4">
        <v>24</v>
      </c>
      <c r="G3" t="s" s="4">
        <v>12</v>
      </c>
      <c r="H3" t="s" s="4">
        <v>26</v>
      </c>
      <c r="I3" t="s" s="4">
        <v>27</v>
      </c>
      <c r="J3" t="s" s="4">
        <v>28</v>
      </c>
      <c r="K3" t="s" s="4">
        <v>36</v>
      </c>
    </row>
    <row r="4" ht="20.25" customHeight="1">
      <c r="B4" s="25">
        <v>2015</v>
      </c>
      <c r="C4" s="32">
        <v>10237</v>
      </c>
      <c r="D4" s="33">
        <v>50075</v>
      </c>
      <c r="E4" s="33">
        <f>D4-C4</f>
        <v>39838</v>
      </c>
      <c r="F4" s="33">
        <f>'Cashflow '!D4</f>
        <v>1426</v>
      </c>
      <c r="G4" s="33">
        <v>39202</v>
      </c>
      <c r="H4" s="33">
        <v>10873</v>
      </c>
      <c r="I4" s="33">
        <f>G4+H4-C4-E4</f>
        <v>0</v>
      </c>
      <c r="J4" s="33">
        <f>C4-G4</f>
        <v>-28965</v>
      </c>
      <c r="K4" s="33"/>
    </row>
    <row r="5" ht="20.05" customHeight="1">
      <c r="B5" s="29"/>
      <c r="C5" s="16">
        <v>10269</v>
      </c>
      <c r="D5" s="17">
        <v>52440</v>
      </c>
      <c r="E5" s="17">
        <f>D5-C5</f>
        <v>42171</v>
      </c>
      <c r="F5" s="17">
        <f>F4+'Cashflow '!D5</f>
        <v>2930</v>
      </c>
      <c r="G5" s="17">
        <v>40672</v>
      </c>
      <c r="H5" s="17">
        <v>11768</v>
      </c>
      <c r="I5" s="17">
        <f>G5+H5-C5-E5</f>
        <v>0</v>
      </c>
      <c r="J5" s="17">
        <f>C5-G5</f>
        <v>-30403</v>
      </c>
      <c r="K5" s="17"/>
    </row>
    <row r="6" ht="20.05" customHeight="1">
      <c r="B6" s="29"/>
      <c r="C6" s="16">
        <v>10709</v>
      </c>
      <c r="D6" s="17">
        <v>56230</v>
      </c>
      <c r="E6" s="17">
        <f>D6-C6</f>
        <v>45521</v>
      </c>
      <c r="F6" s="17">
        <f>F5+'Cashflow '!D6</f>
        <v>4529</v>
      </c>
      <c r="G6" s="17">
        <v>43800</v>
      </c>
      <c r="H6" s="17">
        <v>12430</v>
      </c>
      <c r="I6" s="17">
        <f>G6+H6-C6-E6</f>
        <v>0</v>
      </c>
      <c r="J6" s="17">
        <f>C6-G6</f>
        <v>-33091</v>
      </c>
      <c r="K6" s="17"/>
    </row>
    <row r="7" ht="20.05" customHeight="1">
      <c r="B7" s="29"/>
      <c r="C7" s="16">
        <v>15890</v>
      </c>
      <c r="D7" s="17">
        <v>64747</v>
      </c>
      <c r="E7" s="17">
        <f>D7-C7</f>
        <v>48857</v>
      </c>
      <c r="F7" s="17">
        <f>F6+'Cashflow '!D7</f>
        <v>6281</v>
      </c>
      <c r="G7" s="17">
        <v>51363</v>
      </c>
      <c r="H7" s="17">
        <v>13384</v>
      </c>
      <c r="I7" s="17">
        <f>G7+H7-C7-E7</f>
        <v>0</v>
      </c>
      <c r="J7" s="17">
        <f>C7-G7</f>
        <v>-35473</v>
      </c>
      <c r="K7" s="17"/>
    </row>
    <row r="8" ht="20.05" customHeight="1">
      <c r="B8" s="30">
        <v>2016</v>
      </c>
      <c r="C8" s="16">
        <v>12470</v>
      </c>
      <c r="D8" s="17">
        <v>61128</v>
      </c>
      <c r="E8" s="17">
        <f>D8-C8</f>
        <v>48658</v>
      </c>
      <c r="F8" s="17">
        <f>F7+'Cashflow '!D8</f>
        <v>8108</v>
      </c>
      <c r="G8" s="17">
        <v>46372</v>
      </c>
      <c r="H8" s="17">
        <v>14756</v>
      </c>
      <c r="I8" s="17">
        <f>G8+H8-C8-E8</f>
        <v>0</v>
      </c>
      <c r="J8" s="17">
        <f>C8-G8</f>
        <v>-33902</v>
      </c>
      <c r="K8" s="17"/>
    </row>
    <row r="9" ht="20.05" customHeight="1">
      <c r="B9" s="29"/>
      <c r="C9" s="16">
        <v>12521</v>
      </c>
      <c r="D9" s="17">
        <v>65076</v>
      </c>
      <c r="E9" s="17">
        <f>D9-C9</f>
        <v>52555</v>
      </c>
      <c r="F9" s="17">
        <f>F8+'Cashflow '!D9</f>
        <v>10017</v>
      </c>
      <c r="G9" s="17">
        <v>48538</v>
      </c>
      <c r="H9" s="17">
        <v>16538</v>
      </c>
      <c r="I9" s="17">
        <f>G9+H9-C9-E9</f>
        <v>0</v>
      </c>
      <c r="J9" s="17">
        <f>C9-G9</f>
        <v>-36017</v>
      </c>
      <c r="K9" s="17"/>
    </row>
    <row r="10" ht="20.05" customHeight="1">
      <c r="B10" s="29"/>
      <c r="C10" s="16">
        <v>13656</v>
      </c>
      <c r="D10" s="17">
        <v>70897</v>
      </c>
      <c r="E10" s="17">
        <f>D10-C10</f>
        <v>57241</v>
      </c>
      <c r="F10" s="17">
        <f>F9+'Cashflow '!D10</f>
        <v>12100</v>
      </c>
      <c r="G10" s="17">
        <v>53115</v>
      </c>
      <c r="H10" s="17">
        <v>17782</v>
      </c>
      <c r="I10" s="17">
        <f>G10+H10-C10-E10</f>
        <v>0</v>
      </c>
      <c r="J10" s="17">
        <f>C10-G10</f>
        <v>-39459</v>
      </c>
      <c r="K10" s="17"/>
    </row>
    <row r="11" ht="20.05" customHeight="1">
      <c r="B11" s="29"/>
      <c r="C11" s="16">
        <v>19334</v>
      </c>
      <c r="D11" s="17">
        <v>83402</v>
      </c>
      <c r="E11" s="17">
        <f>D11-C11</f>
        <v>64068</v>
      </c>
      <c r="F11" s="17">
        <f>F10+'Cashflow '!D11</f>
        <v>14397</v>
      </c>
      <c r="G11" s="17">
        <v>64117</v>
      </c>
      <c r="H11" s="17">
        <v>19285</v>
      </c>
      <c r="I11" s="17">
        <f>G11+H11-C11-E11</f>
        <v>0</v>
      </c>
      <c r="J11" s="17">
        <f>C11-G11</f>
        <v>-44783</v>
      </c>
      <c r="K11" s="17"/>
    </row>
    <row r="12" ht="20.05" customHeight="1">
      <c r="B12" s="30">
        <v>2017</v>
      </c>
      <c r="C12" s="16">
        <v>15440</v>
      </c>
      <c r="D12" s="17">
        <v>80969</v>
      </c>
      <c r="E12" s="17">
        <f>D12-C12</f>
        <v>65529</v>
      </c>
      <c r="F12" s="17">
        <f>F11+'Cashflow '!D12</f>
        <v>17624</v>
      </c>
      <c r="G12" s="17">
        <v>59295</v>
      </c>
      <c r="H12" s="17">
        <v>21674</v>
      </c>
      <c r="I12" s="17">
        <f>G12+H12-C12-E12</f>
        <v>0</v>
      </c>
      <c r="J12" s="17">
        <f>C12-G12</f>
        <v>-43855</v>
      </c>
      <c r="K12" s="17"/>
    </row>
    <row r="13" ht="20.05" customHeight="1">
      <c r="B13" s="29"/>
      <c r="C13" s="16">
        <v>13203</v>
      </c>
      <c r="D13" s="17">
        <v>87781</v>
      </c>
      <c r="E13" s="17">
        <f>D13-C13</f>
        <v>74578</v>
      </c>
      <c r="F13" s="17">
        <f>F12+'Cashflow '!D13</f>
        <v>21415</v>
      </c>
      <c r="G13" s="17">
        <v>64567</v>
      </c>
      <c r="H13" s="17">
        <v>23214</v>
      </c>
      <c r="I13" s="17">
        <f>G13+H13-C13-E13</f>
        <v>0</v>
      </c>
      <c r="J13" s="17">
        <f>C13-G13</f>
        <v>-51364</v>
      </c>
      <c r="K13" s="17"/>
    </row>
    <row r="14" ht="20.05" customHeight="1">
      <c r="B14" s="29"/>
      <c r="C14" s="16">
        <v>12767</v>
      </c>
      <c r="D14" s="17">
        <v>115267</v>
      </c>
      <c r="E14" s="17">
        <f>D14-C14</f>
        <v>102500</v>
      </c>
      <c r="F14" s="17">
        <f>F13+'Cashflow '!D14</f>
        <v>25412</v>
      </c>
      <c r="G14" s="17">
        <v>90609</v>
      </c>
      <c r="H14" s="17">
        <v>24658</v>
      </c>
      <c r="I14" s="17">
        <f>G14+H14-C14-E14</f>
        <v>0</v>
      </c>
      <c r="J14" s="17">
        <f>C14-G14</f>
        <v>-77842</v>
      </c>
      <c r="K14" s="17"/>
    </row>
    <row r="15" ht="20.05" customHeight="1">
      <c r="B15" s="29"/>
      <c r="C15" s="16">
        <v>20522</v>
      </c>
      <c r="D15" s="17">
        <v>131310</v>
      </c>
      <c r="E15" s="17">
        <f>D15-C15</f>
        <v>110788</v>
      </c>
      <c r="F15" s="17">
        <f>F14+'Cashflow '!D15</f>
        <v>30089</v>
      </c>
      <c r="G15" s="17">
        <v>103601</v>
      </c>
      <c r="H15" s="17">
        <v>27709</v>
      </c>
      <c r="I15" s="17">
        <f>G15+H15-C15-E15</f>
        <v>0</v>
      </c>
      <c r="J15" s="17">
        <f>C15-G15</f>
        <v>-83079</v>
      </c>
      <c r="K15" s="17"/>
    </row>
    <row r="16" ht="20.05" customHeight="1">
      <c r="B16" s="30">
        <v>2018</v>
      </c>
      <c r="C16" s="16">
        <v>16676</v>
      </c>
      <c r="D16" s="17">
        <v>126362</v>
      </c>
      <c r="E16" s="17">
        <f>D16-C16</f>
        <v>109686</v>
      </c>
      <c r="F16" s="17">
        <f>F15+'Cashflow '!D16</f>
        <v>34942</v>
      </c>
      <c r="G16" s="17">
        <v>94899</v>
      </c>
      <c r="H16" s="17">
        <v>31463</v>
      </c>
      <c r="I16" s="17">
        <f>G16+H16-C16-E16</f>
        <v>0</v>
      </c>
      <c r="J16" s="17">
        <f>C16-G16</f>
        <v>-78223</v>
      </c>
      <c r="K16" s="17"/>
    </row>
    <row r="17" ht="20.05" customHeight="1">
      <c r="B17" s="29"/>
      <c r="C17" s="16">
        <v>19823</v>
      </c>
      <c r="D17" s="17">
        <v>134100</v>
      </c>
      <c r="E17" s="17">
        <f>D17-C17</f>
        <v>114277</v>
      </c>
      <c r="F17" s="17">
        <f>F16+'Cashflow '!D17</f>
        <v>40040</v>
      </c>
      <c r="G17" s="17">
        <v>99105</v>
      </c>
      <c r="H17" s="17">
        <v>34995</v>
      </c>
      <c r="I17" s="17">
        <f>G17+H17-C17-E17</f>
        <v>0</v>
      </c>
      <c r="J17" s="17">
        <f>C17-G17</f>
        <v>-79282</v>
      </c>
      <c r="K17" s="17"/>
    </row>
    <row r="18" ht="20.05" customHeight="1">
      <c r="B18" s="29"/>
      <c r="C18" s="16">
        <v>20425</v>
      </c>
      <c r="D18" s="17">
        <v>143695</v>
      </c>
      <c r="E18" s="17">
        <f>D18-C18</f>
        <v>123270</v>
      </c>
      <c r="F18" s="17">
        <f>F17+'Cashflow '!D18</f>
        <v>45168</v>
      </c>
      <c r="G18" s="17">
        <v>104570</v>
      </c>
      <c r="H18" s="17">
        <v>39125</v>
      </c>
      <c r="I18" s="17">
        <f>G18+H18-C18-E18</f>
        <v>0</v>
      </c>
      <c r="J18" s="17">
        <f>C18-G18</f>
        <v>-84145</v>
      </c>
      <c r="K18" s="17"/>
    </row>
    <row r="19" ht="20.05" customHeight="1">
      <c r="B19" s="29"/>
      <c r="C19" s="16">
        <v>31750</v>
      </c>
      <c r="D19" s="17">
        <v>162648</v>
      </c>
      <c r="E19" s="17">
        <f>D19-C19</f>
        <v>130898</v>
      </c>
      <c r="F19" s="17">
        <f>F18+'Cashflow '!D19</f>
        <v>50847</v>
      </c>
      <c r="G19" s="17">
        <v>119099</v>
      </c>
      <c r="H19" s="17">
        <v>43549</v>
      </c>
      <c r="I19" s="17">
        <f>G19+H19-C19-E19</f>
        <v>0</v>
      </c>
      <c r="J19" s="17">
        <f>C19-G19</f>
        <v>-87349</v>
      </c>
      <c r="K19" s="17"/>
    </row>
    <row r="20" ht="20.05" customHeight="1">
      <c r="B20" s="30">
        <v>2019</v>
      </c>
      <c r="C20" s="16">
        <v>23115</v>
      </c>
      <c r="D20" s="17">
        <v>178102</v>
      </c>
      <c r="E20" s="17">
        <f>D20-C20</f>
        <v>154987</v>
      </c>
      <c r="F20" s="17">
        <f>F19+'Cashflow '!D20</f>
        <v>56975</v>
      </c>
      <c r="G20" s="17">
        <v>129692</v>
      </c>
      <c r="H20" s="17">
        <v>48410</v>
      </c>
      <c r="I20" s="17">
        <f>G20+H20-C20-E20</f>
        <v>0</v>
      </c>
      <c r="J20" s="17">
        <f>C20-G20</f>
        <v>-106577</v>
      </c>
      <c r="K20" s="17"/>
    </row>
    <row r="21" ht="20.05" customHeight="1">
      <c r="B21" s="29"/>
      <c r="C21" s="16">
        <v>22616</v>
      </c>
      <c r="D21" s="17">
        <v>191351</v>
      </c>
      <c r="E21" s="17">
        <f>D21-C21</f>
        <v>168735</v>
      </c>
      <c r="F21" s="17">
        <f>F20+'Cashflow '!D21</f>
        <v>64148</v>
      </c>
      <c r="G21" s="17">
        <v>138290</v>
      </c>
      <c r="H21" s="17">
        <v>53061</v>
      </c>
      <c r="I21" s="17">
        <f>G21+H21-C21-E21</f>
        <v>0</v>
      </c>
      <c r="J21" s="17">
        <f>C21-G21</f>
        <v>-115674</v>
      </c>
      <c r="K21" s="17"/>
    </row>
    <row r="22" ht="20.05" customHeight="1">
      <c r="B22" s="29"/>
      <c r="C22" s="16">
        <v>23255</v>
      </c>
      <c r="D22" s="17">
        <v>199099</v>
      </c>
      <c r="E22" s="17">
        <f>D22-C22</f>
        <v>175844</v>
      </c>
      <c r="F22" s="17">
        <f>F21+'Cashflow '!D22</f>
        <v>71490</v>
      </c>
      <c r="G22" s="17">
        <v>142591</v>
      </c>
      <c r="H22" s="17">
        <v>56508</v>
      </c>
      <c r="I22" s="17">
        <f>G22+H22-C22-E22</f>
        <v>0</v>
      </c>
      <c r="J22" s="17">
        <f>C22-G22</f>
        <v>-119336</v>
      </c>
      <c r="K22" s="17"/>
    </row>
    <row r="23" ht="20.05" customHeight="1">
      <c r="B23" s="29"/>
      <c r="C23" s="16">
        <v>36092</v>
      </c>
      <c r="D23" s="17">
        <v>225248</v>
      </c>
      <c r="E23" s="17">
        <f>D23-C23</f>
        <v>189156</v>
      </c>
      <c r="F23" s="17">
        <f>F22+'Cashflow '!D23</f>
        <v>79500</v>
      </c>
      <c r="G23" s="17">
        <v>163188</v>
      </c>
      <c r="H23" s="17">
        <v>62060</v>
      </c>
      <c r="I23" s="17">
        <f>G23+H23-C23-E23</f>
        <v>0</v>
      </c>
      <c r="J23" s="17">
        <f>C23-G23</f>
        <v>-127096</v>
      </c>
      <c r="K23" s="17"/>
    </row>
    <row r="24" ht="20.05" customHeight="1">
      <c r="B24" s="30">
        <v>2020</v>
      </c>
      <c r="C24" s="16">
        <v>27201</v>
      </c>
      <c r="D24" s="17">
        <v>221238</v>
      </c>
      <c r="E24" s="17">
        <f>D24-C24</f>
        <v>194037</v>
      </c>
      <c r="F24" s="17">
        <f>F23+'Cashflow '!D24</f>
        <v>86619</v>
      </c>
      <c r="G24" s="17">
        <v>155966</v>
      </c>
      <c r="H24" s="17">
        <v>65272</v>
      </c>
      <c r="I24" s="17">
        <f>G24+H24-C24-E24</f>
        <v>0</v>
      </c>
      <c r="J24" s="17">
        <f>C24-G24</f>
        <v>-128765</v>
      </c>
      <c r="K24" s="17"/>
    </row>
    <row r="25" ht="20.05" customHeight="1">
      <c r="B25" s="29"/>
      <c r="C25" s="16">
        <v>37466</v>
      </c>
      <c r="D25" s="17">
        <v>258314</v>
      </c>
      <c r="E25" s="17">
        <f>D25-C25</f>
        <v>220848</v>
      </c>
      <c r="F25" s="17">
        <f>F24+'Cashflow '!D25</f>
        <v>94968</v>
      </c>
      <c r="G25" s="17">
        <v>184586</v>
      </c>
      <c r="H25" s="17">
        <v>73728</v>
      </c>
      <c r="I25" s="17">
        <f>G25+H25-C25-E25</f>
        <v>0</v>
      </c>
      <c r="J25" s="17">
        <f>C25-G25</f>
        <v>-147120</v>
      </c>
      <c r="K25" s="17"/>
    </row>
    <row r="26" ht="20.05" customHeight="1">
      <c r="B26" s="29"/>
      <c r="C26" s="16">
        <v>36092</v>
      </c>
      <c r="D26" s="17">
        <v>225248</v>
      </c>
      <c r="E26" s="17">
        <f>D26-C26</f>
        <v>189156</v>
      </c>
      <c r="F26" s="17">
        <f>F25+'Cashflow '!D26</f>
        <v>103090</v>
      </c>
      <c r="G26" s="17">
        <v>163189</v>
      </c>
      <c r="H26" s="17">
        <v>62060</v>
      </c>
      <c r="I26" s="17">
        <f>G26+H26-C26-E26</f>
        <v>1</v>
      </c>
      <c r="J26" s="17">
        <f>C26-G26</f>
        <v>-127097</v>
      </c>
      <c r="K26" s="17"/>
    </row>
    <row r="27" ht="20.05" customHeight="1">
      <c r="B27" s="29"/>
      <c r="C27" s="16">
        <v>42122</v>
      </c>
      <c r="D27" s="17">
        <v>321195</v>
      </c>
      <c r="E27" s="17">
        <f>D27-C27</f>
        <v>279073</v>
      </c>
      <c r="F27" s="17">
        <f>F26+'Cashflow '!D27</f>
        <v>109820</v>
      </c>
      <c r="G27" s="17">
        <v>227791</v>
      </c>
      <c r="H27" s="17">
        <v>93404</v>
      </c>
      <c r="I27" s="17">
        <f>G27+H27-C27-E27</f>
        <v>0</v>
      </c>
      <c r="J27" s="17">
        <f>C27-G27</f>
        <v>-185669</v>
      </c>
      <c r="K27" s="20"/>
    </row>
    <row r="28" ht="20.05" customHeight="1">
      <c r="B28" s="30">
        <v>2021</v>
      </c>
      <c r="C28" s="16">
        <v>33834</v>
      </c>
      <c r="D28" s="17">
        <v>323077</v>
      </c>
      <c r="E28" s="17">
        <f>D28-C28</f>
        <v>289243</v>
      </c>
      <c r="F28" s="17">
        <f>F27+'Cashflow '!D28</f>
        <v>119911</v>
      </c>
      <c r="G28" s="17">
        <f>323077-103320</f>
        <v>219757</v>
      </c>
      <c r="H28" s="17">
        <v>103320</v>
      </c>
      <c r="I28" s="17">
        <f>G28+H28-C28-E28</f>
        <v>0</v>
      </c>
      <c r="J28" s="17">
        <f>C28-G28</f>
        <v>-185923</v>
      </c>
      <c r="K28" s="17"/>
    </row>
    <row r="29" ht="20.05" customHeight="1">
      <c r="B29" s="29"/>
      <c r="C29" s="16">
        <v>40380</v>
      </c>
      <c r="D29" s="17">
        <v>360319</v>
      </c>
      <c r="E29" s="17">
        <f>D29-C29</f>
        <v>319939</v>
      </c>
      <c r="F29" s="17">
        <f>F28+'Cashflow '!D29</f>
        <v>131001</v>
      </c>
      <c r="G29" s="17">
        <v>245516</v>
      </c>
      <c r="H29" s="17">
        <v>114803</v>
      </c>
      <c r="I29" s="17">
        <f>G29+H29-C29-E29</f>
        <v>0</v>
      </c>
      <c r="J29" s="17">
        <f>C29-G29</f>
        <v>-205136</v>
      </c>
      <c r="K29" s="17"/>
    </row>
    <row r="30" ht="20.05" customHeight="1">
      <c r="B30" s="29"/>
      <c r="C30" s="16">
        <v>42122</v>
      </c>
      <c r="D30" s="17">
        <v>321195</v>
      </c>
      <c r="E30" s="17">
        <f>D30-C30</f>
        <v>279073</v>
      </c>
      <c r="F30" s="17">
        <f>F29+'Cashflow '!D30</f>
        <v>144402</v>
      </c>
      <c r="G30" s="17">
        <v>227791</v>
      </c>
      <c r="H30" s="17">
        <v>93404</v>
      </c>
      <c r="I30" s="17">
        <f>G30+H30-C30-E30</f>
        <v>0</v>
      </c>
      <c r="J30" s="17">
        <f>C30-G30</f>
        <v>-185669</v>
      </c>
      <c r="K30" s="17">
        <f>J30</f>
        <v>-185669</v>
      </c>
    </row>
    <row r="31" ht="20.05" customHeight="1">
      <c r="B31" s="29"/>
      <c r="C31" s="16"/>
      <c r="D31" s="17"/>
      <c r="E31" s="17"/>
      <c r="F31" s="17"/>
      <c r="G31" s="17"/>
      <c r="H31" s="17"/>
      <c r="I31" s="17"/>
      <c r="J31" s="17"/>
      <c r="K31" s="17">
        <f>'Model'!F31</f>
        <v>-182011.232137633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5" customWidth="1"/>
    <col min="2" max="4" width="11.0547" style="35" customWidth="1"/>
    <col min="5" max="16384" width="16.3516" style="35" customWidth="1"/>
  </cols>
  <sheetData>
    <row r="1" ht="40" customHeight="1"/>
    <row r="2" ht="27.65" customHeight="1">
      <c r="B2" t="s" s="2">
        <v>55</v>
      </c>
      <c r="C2" s="2"/>
      <c r="D2" s="2"/>
    </row>
    <row r="3" ht="20.35" customHeight="1">
      <c r="B3" s="5"/>
      <c r="C3" t="s" s="36">
        <v>55</v>
      </c>
      <c r="D3" t="s" s="36">
        <v>56</v>
      </c>
    </row>
    <row r="4" ht="20.7" customHeight="1">
      <c r="B4" s="25">
        <v>2014</v>
      </c>
      <c r="C4" s="37">
        <v>358.69</v>
      </c>
      <c r="D4" s="38"/>
    </row>
    <row r="5" ht="20.7" customHeight="1">
      <c r="B5" s="29"/>
      <c r="C5" s="39">
        <v>362.1</v>
      </c>
      <c r="D5" s="40"/>
    </row>
    <row r="6" ht="20.7" customHeight="1">
      <c r="B6" s="29"/>
      <c r="C6" s="39">
        <v>336.37</v>
      </c>
      <c r="D6" s="41"/>
    </row>
    <row r="7" ht="20.7" customHeight="1">
      <c r="B7" s="29"/>
      <c r="C7" s="39">
        <v>304.13</v>
      </c>
      <c r="D7" s="41"/>
    </row>
    <row r="8" ht="20.7" customHeight="1">
      <c r="B8" s="29"/>
      <c r="C8" s="39">
        <v>312.55</v>
      </c>
      <c r="D8" s="41"/>
    </row>
    <row r="9" ht="20.7" customHeight="1">
      <c r="B9" s="29"/>
      <c r="C9" s="39">
        <v>324.78</v>
      </c>
      <c r="D9" s="41"/>
    </row>
    <row r="10" ht="20.7" customHeight="1">
      <c r="B10" s="29"/>
      <c r="C10" s="39">
        <v>312.99</v>
      </c>
      <c r="D10" s="41"/>
    </row>
    <row r="11" ht="20.7" customHeight="1">
      <c r="B11" s="29"/>
      <c r="C11" s="39">
        <v>339.04</v>
      </c>
      <c r="D11" s="41"/>
    </row>
    <row r="12" ht="20.7" customHeight="1">
      <c r="B12" s="29"/>
      <c r="C12" s="39">
        <v>322.44</v>
      </c>
      <c r="D12" s="41"/>
    </row>
    <row r="13" ht="20.7" customHeight="1">
      <c r="B13" s="29"/>
      <c r="C13" s="39">
        <v>305.46</v>
      </c>
      <c r="D13" s="41"/>
    </row>
    <row r="14" ht="20.7" customHeight="1">
      <c r="B14" s="29"/>
      <c r="C14" s="39">
        <v>338.64</v>
      </c>
      <c r="D14" s="41"/>
    </row>
    <row r="15" ht="20.7" customHeight="1">
      <c r="B15" s="29"/>
      <c r="C15" s="39">
        <v>310.35</v>
      </c>
      <c r="D15" s="41"/>
    </row>
    <row r="16" ht="20.7" customHeight="1">
      <c r="B16" s="30">
        <v>2015</v>
      </c>
      <c r="C16" s="39">
        <v>354.53</v>
      </c>
      <c r="D16" s="41"/>
    </row>
    <row r="17" ht="20.7" customHeight="1">
      <c r="B17" s="29"/>
      <c r="C17" s="39">
        <v>380.16</v>
      </c>
      <c r="D17" s="41"/>
    </row>
    <row r="18" ht="20.7" customHeight="1">
      <c r="B18" s="29"/>
      <c r="C18" s="39">
        <v>372.1</v>
      </c>
      <c r="D18" s="41"/>
    </row>
    <row r="19" ht="20.7" customHeight="1">
      <c r="B19" s="29"/>
      <c r="C19" s="39">
        <v>421.78</v>
      </c>
      <c r="D19" s="41"/>
    </row>
    <row r="20" ht="20.7" customHeight="1">
      <c r="B20" s="29"/>
      <c r="C20" s="39">
        <v>429.23</v>
      </c>
      <c r="D20" s="41"/>
    </row>
    <row r="21" ht="20.7" customHeight="1">
      <c r="B21" s="29"/>
      <c r="C21" s="39">
        <v>434.09</v>
      </c>
      <c r="D21" s="41"/>
    </row>
    <row r="22" ht="20.7" customHeight="1">
      <c r="B22" s="29"/>
      <c r="C22" s="39">
        <v>536.15</v>
      </c>
      <c r="D22" s="41"/>
    </row>
    <row r="23" ht="20.7" customHeight="1">
      <c r="B23" s="29"/>
      <c r="C23" s="39">
        <v>512.89</v>
      </c>
      <c r="D23" s="41"/>
    </row>
    <row r="24" ht="20.7" customHeight="1">
      <c r="B24" s="29"/>
      <c r="C24" s="39">
        <v>511.89</v>
      </c>
      <c r="D24" s="41"/>
    </row>
    <row r="25" ht="20.7" customHeight="1">
      <c r="B25" s="29"/>
      <c r="C25" s="39">
        <v>625.9</v>
      </c>
      <c r="D25" s="41"/>
    </row>
    <row r="26" ht="20.7" customHeight="1">
      <c r="B26" s="29"/>
      <c r="C26" s="39">
        <v>664.8</v>
      </c>
      <c r="D26" s="41"/>
    </row>
    <row r="27" ht="20.7" customHeight="1">
      <c r="B27" s="29"/>
      <c r="C27" s="39">
        <v>675.89</v>
      </c>
      <c r="D27" s="41"/>
    </row>
    <row r="28" ht="20.7" customHeight="1">
      <c r="B28" s="30">
        <v>2016</v>
      </c>
      <c r="C28" s="39">
        <v>587</v>
      </c>
      <c r="D28" s="41"/>
    </row>
    <row r="29" ht="20.7" customHeight="1">
      <c r="B29" s="29"/>
      <c r="C29" s="39">
        <v>552.52</v>
      </c>
      <c r="D29" s="41"/>
    </row>
    <row r="30" ht="20.7" customHeight="1">
      <c r="B30" s="29"/>
      <c r="C30" s="39">
        <v>593.64</v>
      </c>
      <c r="D30" s="41"/>
    </row>
    <row r="31" ht="20.7" customHeight="1">
      <c r="B31" s="29"/>
      <c r="C31" s="39">
        <v>659.59</v>
      </c>
      <c r="D31" s="41"/>
    </row>
    <row r="32" ht="20.7" customHeight="1">
      <c r="B32" s="29"/>
      <c r="C32" s="39">
        <v>722.79</v>
      </c>
      <c r="D32" s="41"/>
    </row>
    <row r="33" ht="20.7" customHeight="1">
      <c r="B33" s="29"/>
      <c r="C33" s="39">
        <v>715.62</v>
      </c>
      <c r="D33" s="41"/>
    </row>
    <row r="34" ht="20.7" customHeight="1">
      <c r="B34" s="29"/>
      <c r="C34" s="39">
        <v>758.8099999999999</v>
      </c>
      <c r="D34" s="41"/>
    </row>
    <row r="35" ht="20.7" customHeight="1">
      <c r="B35" s="29"/>
      <c r="C35" s="39">
        <v>769.16</v>
      </c>
      <c r="D35" s="41"/>
    </row>
    <row r="36" ht="20.7" customHeight="1">
      <c r="B36" s="29"/>
      <c r="C36" s="39">
        <v>837.3099999999999</v>
      </c>
      <c r="D36" s="41"/>
    </row>
    <row r="37" ht="20.7" customHeight="1">
      <c r="B37" s="29"/>
      <c r="C37" s="39">
        <v>789.8200000000001</v>
      </c>
      <c r="D37" s="41"/>
    </row>
    <row r="38" ht="20.7" customHeight="1">
      <c r="B38" s="29"/>
      <c r="C38" s="39">
        <v>750.5700000000001</v>
      </c>
      <c r="D38" s="41"/>
    </row>
    <row r="39" ht="20.7" customHeight="1">
      <c r="B39" s="29"/>
      <c r="C39" s="39">
        <v>749.87</v>
      </c>
      <c r="D39" s="41"/>
    </row>
    <row r="40" ht="20.7" customHeight="1">
      <c r="B40" s="30">
        <v>2017</v>
      </c>
      <c r="C40" s="39">
        <v>823.48</v>
      </c>
      <c r="D40" s="41"/>
    </row>
    <row r="41" ht="20.7" customHeight="1">
      <c r="B41" s="29"/>
      <c r="C41" s="39">
        <v>845.04</v>
      </c>
      <c r="D41" s="41"/>
    </row>
    <row r="42" ht="20.7" customHeight="1">
      <c r="B42" s="29"/>
      <c r="C42" s="39">
        <v>886.54</v>
      </c>
      <c r="D42" s="41"/>
    </row>
    <row r="43" ht="20.7" customHeight="1">
      <c r="B43" s="29"/>
      <c r="C43" s="39">
        <v>924.99</v>
      </c>
      <c r="D43" s="41"/>
    </row>
    <row r="44" ht="20.7" customHeight="1">
      <c r="B44" s="29"/>
      <c r="C44" s="39">
        <v>994.62</v>
      </c>
      <c r="D44" s="41"/>
    </row>
    <row r="45" ht="20.7" customHeight="1">
      <c r="B45" s="29"/>
      <c r="C45" s="39">
        <v>968</v>
      </c>
      <c r="D45" s="41"/>
    </row>
    <row r="46" ht="20.7" customHeight="1">
      <c r="B46" s="29"/>
      <c r="C46" s="39">
        <v>987.78</v>
      </c>
      <c r="D46" s="41"/>
    </row>
    <row r="47" ht="20.7" customHeight="1">
      <c r="B47" s="29"/>
      <c r="C47" s="39">
        <v>980.6</v>
      </c>
      <c r="D47" s="41"/>
    </row>
    <row r="48" ht="20.7" customHeight="1">
      <c r="B48" s="29"/>
      <c r="C48" s="39">
        <v>961.35</v>
      </c>
      <c r="D48" s="41"/>
    </row>
    <row r="49" ht="20.7" customHeight="1">
      <c r="B49" s="29"/>
      <c r="C49" s="39">
        <v>1105.28</v>
      </c>
      <c r="D49" s="41"/>
    </row>
    <row r="50" ht="20.7" customHeight="1">
      <c r="B50" s="29"/>
      <c r="C50" s="39">
        <v>1176.75</v>
      </c>
      <c r="D50" s="41"/>
    </row>
    <row r="51" ht="20.7" customHeight="1">
      <c r="B51" s="29"/>
      <c r="C51" s="39">
        <v>1169.47</v>
      </c>
      <c r="D51" s="41"/>
    </row>
    <row r="52" ht="20.7" customHeight="1">
      <c r="B52" s="30">
        <v>2018</v>
      </c>
      <c r="C52" s="39">
        <v>1450.89</v>
      </c>
      <c r="D52" s="41"/>
    </row>
    <row r="53" ht="20.7" customHeight="1">
      <c r="B53" s="29"/>
      <c r="C53" s="39">
        <v>1512.45</v>
      </c>
      <c r="D53" s="41"/>
    </row>
    <row r="54" ht="20.7" customHeight="1">
      <c r="B54" s="29"/>
      <c r="C54" s="39">
        <v>1447.34</v>
      </c>
      <c r="D54" s="41"/>
    </row>
    <row r="55" ht="20.7" customHeight="1">
      <c r="B55" s="29"/>
      <c r="C55" s="39">
        <v>1566.13</v>
      </c>
      <c r="D55" s="41"/>
    </row>
    <row r="56" ht="20.7" customHeight="1">
      <c r="B56" s="29"/>
      <c r="C56" s="39">
        <v>1629.62</v>
      </c>
      <c r="D56" s="41"/>
    </row>
    <row r="57" ht="20.7" customHeight="1">
      <c r="B57" s="29"/>
      <c r="C57" s="39">
        <v>1699.8</v>
      </c>
      <c r="D57" s="41"/>
    </row>
    <row r="58" ht="20.7" customHeight="1">
      <c r="B58" s="29"/>
      <c r="C58" s="39">
        <v>1777.44</v>
      </c>
      <c r="D58" s="41"/>
    </row>
    <row r="59" ht="20.7" customHeight="1">
      <c r="B59" s="29"/>
      <c r="C59" s="39">
        <v>2012.71</v>
      </c>
      <c r="D59" s="41"/>
    </row>
    <row r="60" ht="20.7" customHeight="1">
      <c r="B60" s="29"/>
      <c r="C60" s="39">
        <v>2003</v>
      </c>
      <c r="D60" s="41"/>
    </row>
    <row r="61" ht="20.7" customHeight="1">
      <c r="B61" s="29"/>
      <c r="C61" s="39">
        <v>1598.01</v>
      </c>
      <c r="D61" s="41"/>
    </row>
    <row r="62" ht="20.7" customHeight="1">
      <c r="B62" s="29"/>
      <c r="C62" s="39">
        <v>1690.17</v>
      </c>
      <c r="D62" s="41"/>
    </row>
    <row r="63" ht="20.7" customHeight="1">
      <c r="B63" s="29"/>
      <c r="C63" s="39">
        <v>1501.97</v>
      </c>
      <c r="D63" s="41"/>
    </row>
    <row r="64" ht="20.7" customHeight="1">
      <c r="B64" s="30">
        <v>2019</v>
      </c>
      <c r="C64" s="39">
        <v>1718.73</v>
      </c>
      <c r="D64" s="41"/>
    </row>
    <row r="65" ht="20.7" customHeight="1">
      <c r="B65" s="29"/>
      <c r="C65" s="39">
        <v>1639.83</v>
      </c>
      <c r="D65" s="41"/>
    </row>
    <row r="66" ht="20.7" customHeight="1">
      <c r="B66" s="29"/>
      <c r="C66" s="39">
        <v>1780.75</v>
      </c>
      <c r="D66" s="41"/>
    </row>
    <row r="67" ht="20.7" customHeight="1">
      <c r="B67" s="29"/>
      <c r="C67" s="39">
        <v>1926.52</v>
      </c>
      <c r="D67" s="41"/>
    </row>
    <row r="68" ht="20.7" customHeight="1">
      <c r="B68" s="29"/>
      <c r="C68" s="39">
        <v>1775.07</v>
      </c>
      <c r="D68" s="41"/>
    </row>
    <row r="69" ht="20.7" customHeight="1">
      <c r="B69" s="29"/>
      <c r="C69" s="39">
        <v>1893.63</v>
      </c>
      <c r="D69" s="41"/>
    </row>
    <row r="70" ht="20.7" customHeight="1">
      <c r="B70" s="29"/>
      <c r="C70" s="39">
        <v>1866.78</v>
      </c>
      <c r="D70" s="41"/>
    </row>
    <row r="71" ht="20.7" customHeight="1">
      <c r="B71" s="29"/>
      <c r="C71" s="39">
        <v>1776.29</v>
      </c>
      <c r="D71" s="41"/>
    </row>
    <row r="72" ht="20.7" customHeight="1">
      <c r="B72" s="29"/>
      <c r="C72" s="39">
        <v>1735.91</v>
      </c>
      <c r="D72" s="41"/>
    </row>
    <row r="73" ht="20.7" customHeight="1">
      <c r="B73" s="29"/>
      <c r="C73" s="39">
        <v>1776.66</v>
      </c>
      <c r="D73" s="41"/>
    </row>
    <row r="74" ht="20.7" customHeight="1">
      <c r="B74" s="29"/>
      <c r="C74" s="39">
        <v>1800.8</v>
      </c>
      <c r="D74" s="42"/>
    </row>
    <row r="75" ht="20.7" customHeight="1">
      <c r="B75" s="29"/>
      <c r="C75" s="39">
        <v>1847.84</v>
      </c>
      <c r="D75" s="17"/>
    </row>
    <row r="76" ht="20.7" customHeight="1">
      <c r="B76" s="30">
        <v>2020</v>
      </c>
      <c r="C76" s="39">
        <v>2008.72</v>
      </c>
      <c r="D76" s="17"/>
    </row>
    <row r="77" ht="20.35" customHeight="1">
      <c r="B77" s="29"/>
      <c r="C77" s="43">
        <v>1883</v>
      </c>
      <c r="D77" s="17"/>
    </row>
    <row r="78" ht="20.05" customHeight="1">
      <c r="B78" s="29"/>
      <c r="C78" s="16">
        <v>1949</v>
      </c>
      <c r="D78" s="17"/>
    </row>
    <row r="79" ht="20.05" customHeight="1">
      <c r="B79" s="29"/>
      <c r="C79" s="16">
        <v>2474</v>
      </c>
      <c r="D79" s="17"/>
    </row>
    <row r="80" ht="20.05" customHeight="1">
      <c r="B80" s="29"/>
      <c r="C80" s="16">
        <v>2442</v>
      </c>
      <c r="D80" s="17"/>
    </row>
    <row r="81" ht="20.05" customHeight="1">
      <c r="B81" s="29"/>
      <c r="C81" s="16">
        <v>2579</v>
      </c>
      <c r="D81" s="17"/>
    </row>
    <row r="82" ht="20.05" customHeight="1">
      <c r="B82" s="29"/>
      <c r="C82" s="16">
        <v>3164.679932</v>
      </c>
      <c r="D82" s="17"/>
    </row>
    <row r="83" ht="20.05" customHeight="1">
      <c r="B83" s="29"/>
      <c r="C83" s="16">
        <v>3450.959961</v>
      </c>
      <c r="D83" s="17"/>
    </row>
    <row r="84" ht="20.05" customHeight="1">
      <c r="B84" s="29"/>
      <c r="C84" s="16">
        <v>3148.72998</v>
      </c>
      <c r="D84" s="17"/>
    </row>
    <row r="85" ht="20.05" customHeight="1">
      <c r="B85" s="29"/>
      <c r="C85" s="16">
        <v>3036.149902</v>
      </c>
      <c r="D85" s="17"/>
    </row>
    <row r="86" ht="20.05" customHeight="1">
      <c r="B86" s="29"/>
      <c r="C86" s="16">
        <v>3168.040039</v>
      </c>
      <c r="D86" s="17"/>
    </row>
    <row r="87" ht="20.05" customHeight="1">
      <c r="B87" s="29"/>
      <c r="C87" s="16">
        <v>3256.929932</v>
      </c>
      <c r="D87" s="17"/>
    </row>
    <row r="88" ht="20.05" customHeight="1">
      <c r="B88" s="30">
        <v>2021</v>
      </c>
      <c r="C88" s="16">
        <v>3206.199951</v>
      </c>
      <c r="D88" s="17"/>
    </row>
    <row r="89" ht="20.05" customHeight="1">
      <c r="B89" s="29"/>
      <c r="C89" s="16">
        <v>3092.929932</v>
      </c>
      <c r="D89" s="21"/>
    </row>
    <row r="90" ht="20.05" customHeight="1">
      <c r="B90" s="29"/>
      <c r="C90" s="16">
        <v>3094.080078</v>
      </c>
      <c r="D90" s="21"/>
    </row>
    <row r="91" ht="20.05" customHeight="1">
      <c r="B91" s="29"/>
      <c r="C91" s="16">
        <v>3467.419922</v>
      </c>
      <c r="D91" s="21"/>
    </row>
    <row r="92" ht="20.05" customHeight="1">
      <c r="B92" s="29"/>
      <c r="C92" s="16">
        <v>3432</v>
      </c>
      <c r="D92" s="17"/>
    </row>
    <row r="93" ht="20.05" customHeight="1">
      <c r="B93" s="29"/>
      <c r="C93" s="16">
        <v>3719</v>
      </c>
      <c r="D93" s="17"/>
    </row>
    <row r="94" ht="20.05" customHeight="1">
      <c r="B94" s="29"/>
      <c r="C94" s="16">
        <v>3327</v>
      </c>
      <c r="D94" s="17"/>
    </row>
    <row r="95" ht="20.05" customHeight="1">
      <c r="B95" s="29"/>
      <c r="C95" s="16">
        <v>3479</v>
      </c>
      <c r="D95" s="17"/>
    </row>
    <row r="96" ht="20.05" customHeight="1">
      <c r="B96" s="29"/>
      <c r="C96" s="16">
        <v>3283.26</v>
      </c>
      <c r="D96" s="17"/>
    </row>
    <row r="97" ht="20.05" customHeight="1">
      <c r="B97" s="29"/>
      <c r="C97" s="16">
        <v>3372.43</v>
      </c>
      <c r="D97" s="17">
        <f>C97</f>
        <v>3372.43</v>
      </c>
    </row>
    <row r="98" ht="20.05" customHeight="1">
      <c r="B98" s="29"/>
      <c r="C98" s="16"/>
      <c r="D98" s="17">
        <f>'Model'!F43</f>
        <v>4600.288941926650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