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Model" sheetId="1" r:id="rId4"/>
    <sheet name="Sales" sheetId="2" r:id="rId5"/>
    <sheet name="Cashflow " sheetId="3" r:id="rId6"/>
    <sheet name="Balance sheet" sheetId="4" r:id="rId7"/>
    <sheet name="Share price" sheetId="5" r:id="rId8"/>
    <sheet name="Capital " sheetId="6" r:id="rId9"/>
  </sheets>
</workbook>
</file>

<file path=xl/sharedStrings.xml><?xml version="1.0" encoding="utf-8"?>
<sst xmlns="http://schemas.openxmlformats.org/spreadsheetml/2006/main" uniqueCount="63">
  <si>
    <t>Financial model</t>
  </si>
  <si>
    <t>$m</t>
  </si>
  <si>
    <t>4Q 2022</t>
  </si>
  <si>
    <t>Cashflow</t>
  </si>
  <si>
    <t>Growth</t>
  </si>
  <si>
    <t>Sales</t>
  </si>
  <si>
    <t>Cash cost ratio</t>
  </si>
  <si>
    <t xml:space="preserve">Cash cost </t>
  </si>
  <si>
    <t xml:space="preserve">Operating </t>
  </si>
  <si>
    <t xml:space="preserve">Investment </t>
  </si>
  <si>
    <t>Leases</t>
  </si>
  <si>
    <t xml:space="preserve">Finance </t>
  </si>
  <si>
    <t xml:space="preserve">Liabilities </t>
  </si>
  <si>
    <t xml:space="preserve">Revolver </t>
  </si>
  <si>
    <t xml:space="preserve">Payout </t>
  </si>
  <si>
    <t>Equity</t>
  </si>
  <si>
    <t xml:space="preserve">Before revolver </t>
  </si>
  <si>
    <t>Beginning cash</t>
  </si>
  <si>
    <t>Change</t>
  </si>
  <si>
    <t>Ending cash</t>
  </si>
  <si>
    <t>Profit</t>
  </si>
  <si>
    <t>Non cash costs</t>
  </si>
  <si>
    <t xml:space="preserve">Net profit </t>
  </si>
  <si>
    <t>Balance sheet</t>
  </si>
  <si>
    <t>Other assets</t>
  </si>
  <si>
    <t xml:space="preserve">Depreciation </t>
  </si>
  <si>
    <t>Net other assets</t>
  </si>
  <si>
    <t xml:space="preserve">Equity </t>
  </si>
  <si>
    <t xml:space="preserve">Check </t>
  </si>
  <si>
    <t xml:space="preserve">Net cash </t>
  </si>
  <si>
    <t xml:space="preserve">Valuation </t>
  </si>
  <si>
    <t xml:space="preserve">Capital </t>
  </si>
  <si>
    <t xml:space="preserve">Current value </t>
  </si>
  <si>
    <t>P/assets</t>
  </si>
  <si>
    <t>Yield</t>
  </si>
  <si>
    <t xml:space="preserve">Cashflow </t>
  </si>
  <si>
    <t xml:space="preserve">Payback </t>
  </si>
  <si>
    <t xml:space="preserve">Forecast </t>
  </si>
  <si>
    <t xml:space="preserve">Value </t>
  </si>
  <si>
    <t xml:space="preserve">Shares </t>
  </si>
  <si>
    <t xml:space="preserve">Target </t>
  </si>
  <si>
    <t xml:space="preserve">Current </t>
  </si>
  <si>
    <t xml:space="preserve">V target </t>
  </si>
  <si>
    <t xml:space="preserve">12 month growth </t>
  </si>
  <si>
    <t xml:space="preserve">Sales forecasts </t>
  </si>
  <si>
    <t xml:space="preserve">Sales growth </t>
  </si>
  <si>
    <t xml:space="preserve">Cost ratio </t>
  </si>
  <si>
    <t>Net income</t>
  </si>
  <si>
    <t xml:space="preserve">Non cash costs </t>
  </si>
  <si>
    <t xml:space="preserve">Working capital </t>
  </si>
  <si>
    <t>Finance</t>
  </si>
  <si>
    <t xml:space="preserve">Free cashflow </t>
  </si>
  <si>
    <t>Cash</t>
  </si>
  <si>
    <t>Assets</t>
  </si>
  <si>
    <t>Other Assets</t>
  </si>
  <si>
    <t>AMZN</t>
  </si>
  <si>
    <t>Target</t>
  </si>
  <si>
    <t xml:space="preserve">Previous </t>
  </si>
  <si>
    <t>Capital</t>
  </si>
  <si>
    <t>Employees</t>
  </si>
  <si>
    <t>Public</t>
  </si>
  <si>
    <t>Govt</t>
  </si>
  <si>
    <t xml:space="preserve">Total </t>
  </si>
</sst>
</file>

<file path=xl/styles.xml><?xml version="1.0" encoding="utf-8"?>
<styleSheet xmlns="http://schemas.openxmlformats.org/spreadsheetml/2006/main">
  <numFmts count="4">
    <numFmt numFmtId="0" formatCode="General"/>
    <numFmt numFmtId="59" formatCode="#,##0%_);[Red]\(#,##0%\)"/>
    <numFmt numFmtId="60" formatCode="#,##0%"/>
    <numFmt numFmtId="61" formatCode="#,##0.0"/>
  </numFmts>
  <fonts count="9">
    <font>
      <sz val="10"/>
      <color indexed="8"/>
      <name val="Helvetica Neue"/>
    </font>
    <font>
      <sz val="12"/>
      <color indexed="8"/>
      <name val="Helvetica Neue"/>
    </font>
    <font>
      <b val="1"/>
      <sz val="10"/>
      <color indexed="8"/>
      <name val="Helvetica Neue"/>
    </font>
    <font>
      <sz val="12"/>
      <color indexed="14"/>
      <name val="Helvetica Neue"/>
    </font>
    <font>
      <b val="1"/>
      <sz val="25"/>
      <color indexed="8"/>
      <name val="Helvetica Neue"/>
    </font>
    <font>
      <b val="1"/>
      <sz val="25"/>
      <color indexed="16"/>
      <name val="Helvetica Neue"/>
    </font>
    <font>
      <sz val="10"/>
      <color indexed="8"/>
      <name val="Arial"/>
    </font>
    <font>
      <sz val="12"/>
      <color indexed="17"/>
      <name val="Arial"/>
    </font>
    <font>
      <sz val="12"/>
      <color indexed="8"/>
      <name val="Helvetica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</fills>
  <borders count="15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7"/>
      </bottom>
      <diagonal/>
    </border>
    <border>
      <left style="thin">
        <color indexed="11"/>
      </left>
      <right style="thin">
        <color indexed="10"/>
      </right>
      <top style="thin">
        <color indexed="17"/>
      </top>
      <bottom style="thin">
        <color indexed="18"/>
      </bottom>
      <diagonal/>
    </border>
    <border>
      <left style="thin">
        <color indexed="10"/>
      </left>
      <right style="thin">
        <color indexed="10"/>
      </right>
      <top style="thin">
        <color indexed="17"/>
      </top>
      <bottom style="thin">
        <color indexed="18"/>
      </bottom>
      <diagonal/>
    </border>
    <border>
      <left style="thin">
        <color indexed="11"/>
      </left>
      <right style="thin">
        <color indexed="10"/>
      </right>
      <top style="thin">
        <color indexed="18"/>
      </top>
      <bottom style="thin">
        <color indexed="18"/>
      </bottom>
      <diagonal/>
    </border>
    <border>
      <left style="thin">
        <color indexed="10"/>
      </left>
      <right style="thin">
        <color indexed="10"/>
      </right>
      <top style="thin">
        <color indexed="18"/>
      </top>
      <bottom style="thin">
        <color indexed="18"/>
      </bottom>
      <diagonal/>
    </border>
    <border>
      <left style="thin">
        <color indexed="10"/>
      </left>
      <right style="thin">
        <color indexed="10"/>
      </right>
      <top style="thin">
        <color indexed="18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8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45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1" applyNumberFormat="0" applyFont="1" applyFill="0" applyBorder="0" applyAlignment="1" applyProtection="0">
      <alignment horizontal="center" vertical="center"/>
    </xf>
    <xf numFmtId="49" fontId="2" fillId="2" borderId="1" applyNumberFormat="1" applyFont="1" applyFill="1" applyBorder="1" applyAlignment="1" applyProtection="0">
      <alignment horizontal="left" vertical="top" wrapText="1"/>
    </xf>
    <xf numFmtId="0" fontId="2" fillId="2" borderId="1" applyNumberFormat="0" applyFont="1" applyFill="1" applyBorder="1" applyAlignment="1" applyProtection="0">
      <alignment vertical="top" wrapText="1"/>
    </xf>
    <xf numFmtId="49" fontId="2" fillId="2" borderId="1" applyNumberFormat="1" applyFont="1" applyFill="1" applyBorder="1" applyAlignment="1" applyProtection="0">
      <alignment horizontal="right" vertical="top" wrapText="1"/>
    </xf>
    <xf numFmtId="49" fontId="2" fillId="3" borderId="2" applyNumberFormat="1" applyFont="1" applyFill="1" applyBorder="1" applyAlignment="1" applyProtection="0">
      <alignment vertical="top" wrapText="1"/>
    </xf>
    <xf numFmtId="59" fontId="0" borderId="3" applyNumberFormat="1" applyFont="1" applyFill="0" applyBorder="1" applyAlignment="1" applyProtection="0">
      <alignment vertical="top" wrapText="1"/>
    </xf>
    <xf numFmtId="59" fontId="0" borderId="4" applyNumberFormat="1" applyFont="1" applyFill="0" applyBorder="1" applyAlignment="1" applyProtection="0">
      <alignment vertical="top" wrapText="1"/>
    </xf>
    <xf numFmtId="49" fontId="0" fillId="3" borderId="5" applyNumberFormat="1" applyFont="1" applyFill="1" applyBorder="1" applyAlignment="1" applyProtection="0">
      <alignment vertical="top" wrapText="1"/>
    </xf>
    <xf numFmtId="60" fontId="0" borderId="6" applyNumberFormat="1" applyFont="1" applyFill="0" applyBorder="1" applyAlignment="1" applyProtection="0">
      <alignment vertical="top" wrapText="1"/>
    </xf>
    <xf numFmtId="60" fontId="0" borderId="7" applyNumberFormat="1" applyFont="1" applyFill="0" applyBorder="1" applyAlignment="1" applyProtection="0">
      <alignment vertical="top" wrapText="1"/>
    </xf>
    <xf numFmtId="38" fontId="0" borderId="6" applyNumberFormat="1" applyFont="1" applyFill="0" applyBorder="1" applyAlignment="1" applyProtection="0">
      <alignment vertical="top" wrapText="1"/>
    </xf>
    <xf numFmtId="38" fontId="0" borderId="7" applyNumberFormat="1" applyFont="1" applyFill="0" applyBorder="1" applyAlignment="1" applyProtection="0">
      <alignment vertical="top" wrapText="1"/>
    </xf>
    <xf numFmtId="9" fontId="0" borderId="6" applyNumberFormat="1" applyFont="1" applyFill="0" applyBorder="1" applyAlignment="1" applyProtection="0">
      <alignment vertical="top" wrapText="1"/>
    </xf>
    <xf numFmtId="9" fontId="0" borderId="7" applyNumberFormat="1" applyFont="1" applyFill="0" applyBorder="1" applyAlignment="1" applyProtection="0">
      <alignment vertical="top" wrapText="1"/>
    </xf>
    <xf numFmtId="3" fontId="0" borderId="6" applyNumberFormat="1" applyFont="1" applyFill="0" applyBorder="1" applyAlignment="1" applyProtection="0">
      <alignment vertical="top" wrapText="1"/>
    </xf>
    <xf numFmtId="3" fontId="0" borderId="7" applyNumberFormat="1" applyFont="1" applyFill="0" applyBorder="1" applyAlignment="1" applyProtection="0">
      <alignment vertical="top" wrapText="1"/>
    </xf>
    <xf numFmtId="61" fontId="0" borderId="6" applyNumberFormat="1" applyFont="1" applyFill="0" applyBorder="1" applyAlignment="1" applyProtection="0">
      <alignment vertical="top" wrapText="1"/>
    </xf>
    <xf numFmtId="49" fontId="2" fillId="3" borderId="5" applyNumberFormat="1" applyFont="1" applyFill="1" applyBorder="1" applyAlignment="1" applyProtection="0">
      <alignment vertical="top" wrapText="1"/>
    </xf>
    <xf numFmtId="0" fontId="0" borderId="6" applyNumberFormat="1" applyFont="1" applyFill="0" applyBorder="1" applyAlignment="1" applyProtection="0">
      <alignment vertical="top" wrapText="1"/>
    </xf>
    <xf numFmtId="0" fontId="0" borderId="7" applyNumberFormat="1" applyFont="1" applyFill="0" applyBorder="1" applyAlignment="1" applyProtection="0">
      <alignment vertical="top" wrapText="1"/>
    </xf>
    <xf numFmtId="0" fontId="0" borderId="7" applyNumberFormat="0" applyFont="1" applyFill="0" applyBorder="1" applyAlignment="1" applyProtection="0">
      <alignment vertical="top" wrapText="1"/>
    </xf>
    <xf numFmtId="4" fontId="0" borderId="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2" fillId="4" borderId="2" applyNumberFormat="1" applyFont="1" applyFill="1" applyBorder="1" applyAlignment="1" applyProtection="0">
      <alignment vertical="top" wrapText="1"/>
    </xf>
    <xf numFmtId="38" fontId="0" borderId="3" applyNumberFormat="1" applyFont="1" applyFill="0" applyBorder="1" applyAlignment="1" applyProtection="0">
      <alignment vertical="top" wrapText="1"/>
    </xf>
    <xf numFmtId="38" fontId="0" borderId="4" applyNumberFormat="1" applyFont="1" applyFill="0" applyBorder="1" applyAlignment="1" applyProtection="0">
      <alignment vertical="top" wrapText="1"/>
    </xf>
    <xf numFmtId="60" fontId="0" borderId="4" applyNumberFormat="1" applyFont="1" applyFill="0" applyBorder="1" applyAlignment="1" applyProtection="0">
      <alignment vertical="top" wrapText="1"/>
    </xf>
    <xf numFmtId="0" fontId="2" fillId="4" borderId="5" applyNumberFormat="0" applyFont="1" applyFill="1" applyBorder="1" applyAlignment="1" applyProtection="0">
      <alignment vertical="top" wrapText="1"/>
    </xf>
    <xf numFmtId="0" fontId="2" fillId="4" borderId="5" applyNumberFormat="1" applyFont="1" applyFill="1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2" fillId="2" borderId="1" applyNumberFormat="0" applyFont="1" applyFill="1" applyBorder="1" applyAlignment="1" applyProtection="0">
      <alignment horizontal="right" vertical="top" wrapText="1"/>
    </xf>
    <xf numFmtId="3" fontId="0" borderId="3" applyNumberFormat="1" applyFont="1" applyFill="0" applyBorder="1" applyAlignment="1" applyProtection="0">
      <alignment vertical="top" wrapText="1"/>
    </xf>
    <xf numFmtId="3" fontId="0" borderId="4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49" fontId="2" fillId="2" borderId="8" applyNumberFormat="1" applyFont="1" applyFill="1" applyBorder="1" applyAlignment="1" applyProtection="0">
      <alignment vertical="top" wrapText="1"/>
    </xf>
    <xf numFmtId="3" fontId="6" fillId="5" borderId="9" applyNumberFormat="1" applyFont="1" applyFill="1" applyBorder="1" applyAlignment="1" applyProtection="0">
      <alignment vertical="center" wrapText="1" readingOrder="1"/>
    </xf>
    <xf numFmtId="3" fontId="7" borderId="10" applyNumberFormat="1" applyFont="1" applyFill="0" applyBorder="1" applyAlignment="1" applyProtection="0">
      <alignment vertical="center" wrapText="1" readingOrder="1"/>
    </xf>
    <xf numFmtId="3" fontId="6" fillId="5" borderId="11" applyNumberFormat="1" applyFont="1" applyFill="1" applyBorder="1" applyAlignment="1" applyProtection="0">
      <alignment vertical="center" wrapText="1" readingOrder="1"/>
    </xf>
    <xf numFmtId="3" fontId="7" borderId="12" applyNumberFormat="1" applyFont="1" applyFill="0" applyBorder="1" applyAlignment="1" applyProtection="0">
      <alignment vertical="center" wrapText="1" readingOrder="1"/>
    </xf>
    <xf numFmtId="3" fontId="7" borderId="13" applyNumberFormat="1" applyFont="1" applyFill="0" applyBorder="1" applyAlignment="1" applyProtection="0">
      <alignment vertical="center" wrapText="1" readingOrder="1"/>
    </xf>
    <xf numFmtId="3" fontId="6" fillId="5" borderId="14" applyNumberFormat="1" applyFont="1" applyFill="1" applyBorder="1" applyAlignment="1" applyProtection="0">
      <alignment vertical="center" wrapText="1" readingOrder="1"/>
    </xf>
    <xf numFmtId="0" fontId="0" applyNumberFormat="1" applyFont="1" applyFill="0" applyBorder="0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6d6d6"/>
      <rgbColor rgb="ffdbdbdb"/>
      <rgbColor rgb="fffeffff"/>
      <rgbColor rgb="ffb8b8b8"/>
      <rgbColor rgb="ffed220b"/>
      <rgbColor rgb="ff333333"/>
      <rgbColor rgb="ffd9d9d9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roundedCorners val="0"/>
  <c:chart>
    <c:autoTitleDeleted val="1"/>
    <c:plotArea>
      <c:layout>
        <c:manualLayout>
          <c:layoutTarget val="inner"/>
          <c:xMode val="edge"/>
          <c:yMode val="edge"/>
          <c:x val="0.0922419"/>
          <c:y val="0.0446026"/>
          <c:w val="0.760457"/>
          <c:h val="0.881835"/>
        </c:manualLayout>
      </c:layout>
      <c:barChart>
        <c:barDir val="col"/>
        <c:grouping val="clustered"/>
        <c:varyColors val="0"/>
        <c:ser>
          <c:idx val="0"/>
          <c:order val="0"/>
          <c:tx>
            <c:v>Region 1</c:v>
          </c:tx>
          <c:spPr>
            <a:solidFill>
              <a:schemeClr val="accent1"/>
            </a:solidFill>
            <a:ln w="12700" cap="flat">
              <a:noFill/>
              <a:miter lim="400000"/>
            </a:ln>
            <a:effectLst/>
          </c:spPr>
          <c:invertIfNegative val="0"/>
          <c:dLbls>
            <c:numFmt formatCode="#,##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FFFFFF"/>
                    </a:solidFill>
                    <a:latin typeface="Helvetica Neue"/>
                  </a:defRPr>
                </a:pPr>
              </a:p>
            </c:tx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4"/>
              <c:pt idx="0">
                <c:v>April</c:v>
              </c:pt>
              <c:pt idx="1">
                <c:v>May</c:v>
              </c:pt>
              <c:pt idx="2">
                <c:v>June</c:v>
              </c:pt>
              <c:pt idx="3">
                <c:v>July</c:v>
              </c:pt>
            </c:strLit>
          </c:cat>
          <c:val>
            <c:numLit>
              <c:ptCount val="4"/>
              <c:pt idx="0">
                <c:v>17.000000</c:v>
              </c:pt>
              <c:pt idx="1">
                <c:v>26.000000</c:v>
              </c:pt>
              <c:pt idx="2">
                <c:v>53.000000</c:v>
              </c:pt>
              <c:pt idx="3">
                <c:v>96.000000</c:v>
              </c:pt>
            </c:numLit>
          </c:val>
        </c:ser>
        <c:ser>
          <c:idx val="1"/>
          <c:order val="1"/>
          <c:tx>
            <c:v>Region 2</c:v>
          </c:tx>
          <c:spPr>
            <a:solidFill>
              <a:schemeClr val="accent3"/>
            </a:solidFill>
            <a:ln w="12700" cap="flat">
              <a:noFill/>
              <a:miter lim="400000"/>
            </a:ln>
            <a:effectLst/>
          </c:spPr>
          <c:invertIfNegative val="0"/>
          <c:dLbls>
            <c:numFmt formatCode="#,##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FFFFFF"/>
                    </a:solidFill>
                    <a:latin typeface="Helvetica Neue"/>
                  </a:defRPr>
                </a:pPr>
              </a:p>
            </c:tx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4"/>
              <c:pt idx="0">
                <c:v>April</c:v>
              </c:pt>
              <c:pt idx="1">
                <c:v>May</c:v>
              </c:pt>
              <c:pt idx="2">
                <c:v>June</c:v>
              </c:pt>
              <c:pt idx="3">
                <c:v>July</c:v>
              </c:pt>
            </c:strLit>
          </c:cat>
          <c:val>
            <c:numLit>
              <c:ptCount val="4"/>
              <c:pt idx="0">
                <c:v>55.000000</c:v>
              </c:pt>
              <c:pt idx="1">
                <c:v>43.000000</c:v>
              </c:pt>
              <c:pt idx="2">
                <c:v>70.000000</c:v>
              </c:pt>
              <c:pt idx="3">
                <c:v>58.000000</c:v>
              </c:pt>
            </c:numLit>
          </c:val>
        </c:ser>
        <c:gapWidth val="40"/>
        <c:overlap val="-10"/>
        <c:axId val="2094734552"/>
        <c:axId val="2094734553"/>
      </c:barChart>
      <c:catAx>
        <c:axId val="2094734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 cap="flat">
            <a:solidFill>
              <a:srgbClr val="000000"/>
            </a:solidFill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3"/>
        <c:crosses val="autoZero"/>
        <c:auto val="1"/>
        <c:lblAlgn val="ctr"/>
        <c:noMultiLvlLbl val="1"/>
      </c:catAx>
      <c:valAx>
        <c:axId val="2094734553"/>
        <c:scaling>
          <c:orientation val="minMax"/>
        </c:scaling>
        <c:delete val="0"/>
        <c:axPos val="l"/>
        <c:majorGridlines>
          <c:spPr>
            <a:ln w="12700" cap="flat">
              <a:solidFill>
                <a:srgbClr val="B8B8B8"/>
              </a:solidFill>
              <a:prstDash val="solid"/>
              <a:miter lim="400000"/>
            </a:ln>
          </c:spPr>
        </c:majorGridlines>
        <c:numFmt formatCode="General" sourceLinked="1"/>
        <c:majorTickMark val="none"/>
        <c:minorTickMark val="none"/>
        <c:tickLblPos val="nextTo"/>
        <c:spPr>
          <a:ln w="12700" cap="flat">
            <a:noFill/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2"/>
        <c:crosses val="autoZero"/>
        <c:crossBetween val="between"/>
        <c:majorUnit val="25"/>
        <c:minorUnit val="12.5"/>
      </c:valAx>
      <c:spPr>
        <a:noFill/>
        <a:ln w="12700" cap="flat">
          <a:noFill/>
          <a:miter lim="400000"/>
        </a:ln>
        <a:effectLst/>
      </c:spPr>
    </c:plotArea>
    <c:legend>
      <c:legendPos val="r"/>
      <c:layout>
        <c:manualLayout>
          <c:xMode val="edge"/>
          <c:yMode val="edge"/>
          <c:x val="0.429106"/>
          <c:y val="0.119435"/>
          <c:w val="0.570894"/>
          <c:h val="0.0696026"/>
        </c:manualLayout>
      </c:layout>
      <c:overlay val="1"/>
      <c:spPr>
        <a:noFill/>
        <a:ln w="12700" cap="flat">
          <a:noFill/>
          <a:miter lim="400000"/>
        </a:ln>
        <a:effectLst/>
      </c:spPr>
      <c:txPr>
        <a:bodyPr rot="0"/>
        <a:lstStyle/>
        <a:p>
          <a:pPr>
            <a:defRPr b="0" i="0" strike="noStrike" sz="1000" u="none">
              <a:solidFill>
                <a:srgbClr val="000000"/>
              </a:solidFill>
              <a:latin typeface="Helvetica Neue"/>
            </a:defRPr>
          </a:pPr>
        </a:p>
      </c:txPr>
    </c:legend>
    <c:plotVisOnly val="1"/>
    <c:dispBlanksAs val="gap"/>
  </c:chart>
  <c:spPr>
    <a:noFill/>
    <a:ln>
      <a:noFill/>
    </a:ln>
    <a:effectLst/>
  </c:sp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roundedCorners val="0"/>
  <c:chart>
    <c:autoTitleDeleted val="1"/>
    <c:plotArea>
      <c:layout>
        <c:manualLayout>
          <c:layoutTarget val="inner"/>
          <c:xMode val="edge"/>
          <c:yMode val="edge"/>
          <c:x val="0.141758"/>
          <c:y val="0.0446026"/>
          <c:w val="0.817804"/>
          <c:h val="0.881835"/>
        </c:manualLayout>
      </c:layout>
      <c:lineChart>
        <c:grouping val="standard"/>
        <c:varyColors val="0"/>
        <c:ser>
          <c:idx val="0"/>
          <c:order val="0"/>
          <c:tx>
            <c:strRef>
              <c:f>'Capital '!$G$2</c:f>
              <c:strCache>
                <c:ptCount val="1"/>
                <c:pt idx="0">
                  <c:v>Liabilities </c:v>
                </c:pt>
              </c:strCache>
            </c:strRef>
          </c:tx>
          <c:spPr>
            <a:solidFill>
              <a:srgbClr val="FFFFFF"/>
            </a:solidFill>
            <a:ln w="50800" cap="flat">
              <a:solidFill>
                <a:schemeClr val="accent1"/>
              </a:solidFill>
              <a:prstDash val="solid"/>
              <a:miter lim="400000"/>
            </a:ln>
            <a:effectLst/>
          </c:spPr>
          <c:marker>
            <c:symbol val="none"/>
            <c:size val="4"/>
            <c:spPr>
              <a:solidFill>
                <a:srgbClr val="FFFFFF"/>
              </a:solidFill>
              <a:ln w="50800" cap="flat">
                <a:solidFill>
                  <a:schemeClr val="accent1"/>
                </a:solidFill>
                <a:prstDash val="solid"/>
                <a:miter lim="400000"/>
              </a:ln>
              <a:effectLst/>
            </c:spPr>
          </c:marker>
          <c:dLbls>
            <c:numFmt formatCode="#,##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000000"/>
                    </a:solidFill>
                    <a:latin typeface="Helvetica"/>
                  </a:defRPr>
                </a:pPr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'Capital '!$A$3:$A$23</c:f>
              <c:strCache>
                <c:ptCount val="21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</c:strCache>
            </c:strRef>
          </c:cat>
          <c:val>
            <c:numRef>
              <c:f>'Capital '!$G$3:$G$23</c:f>
              <c:numCache>
                <c:ptCount val="21"/>
                <c:pt idx="0">
                  <c:v>-0.044000</c:v>
                </c:pt>
                <c:pt idx="1">
                  <c:v>-0.044000</c:v>
                </c:pt>
                <c:pt idx="2">
                  <c:v>74.956000</c:v>
                </c:pt>
                <c:pt idx="3">
                  <c:v>322.835000</c:v>
                </c:pt>
                <c:pt idx="4">
                  <c:v>1397.588000</c:v>
                </c:pt>
                <c:pt idx="5">
                  <c:v>2062.160000</c:v>
                </c:pt>
                <c:pt idx="6">
                  <c:v>2052.585000</c:v>
                </c:pt>
                <c:pt idx="7">
                  <c:v>2037.790000</c:v>
                </c:pt>
                <c:pt idx="8">
                  <c:v>1542.482000</c:v>
                </c:pt>
                <c:pt idx="9">
                  <c:v>1385.482000</c:v>
                </c:pt>
                <c:pt idx="10">
                  <c:v>1126.482000</c:v>
                </c:pt>
                <c:pt idx="11">
                  <c:v>921.482000</c:v>
                </c:pt>
                <c:pt idx="12">
                  <c:v>962.482000</c:v>
                </c:pt>
                <c:pt idx="13">
                  <c:v>705.482000</c:v>
                </c:pt>
                <c:pt idx="14">
                  <c:v>320.482000</c:v>
                </c:pt>
                <c:pt idx="15">
                  <c:v>242.482000</c:v>
                </c:pt>
                <c:pt idx="16">
                  <c:v>-24.518000</c:v>
                </c:pt>
                <c:pt idx="17">
                  <c:v>2765.482000</c:v>
                </c:pt>
                <c:pt idx="18">
                  <c:v>2765.482000</c:v>
                </c:pt>
                <c:pt idx="19">
                  <c:v>2765.482000</c:v>
                </c:pt>
                <c:pt idx="20">
                  <c:v>2765.482000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'Capital '!$H$2</c:f>
              <c:strCache>
                <c:ptCount val="1"/>
                <c:pt idx="0">
                  <c:v>Equity </c:v>
                </c:pt>
              </c:strCache>
            </c:strRef>
          </c:tx>
          <c:spPr>
            <a:solidFill>
              <a:srgbClr val="FFFFFF"/>
            </a:solidFill>
            <a:ln w="50800" cap="flat">
              <a:solidFill>
                <a:schemeClr val="accent3"/>
              </a:solidFill>
              <a:prstDash val="solid"/>
              <a:miter lim="400000"/>
            </a:ln>
            <a:effectLst/>
          </c:spPr>
          <c:marker>
            <c:symbol val="none"/>
            <c:size val="4"/>
            <c:spPr>
              <a:solidFill>
                <a:srgbClr val="FFFFFF"/>
              </a:solidFill>
              <a:ln w="50800" cap="flat">
                <a:solidFill>
                  <a:schemeClr val="accent3"/>
                </a:solidFill>
                <a:prstDash val="solid"/>
                <a:miter lim="400000"/>
              </a:ln>
              <a:effectLst/>
            </c:spPr>
          </c:marker>
          <c:dLbls>
            <c:numFmt formatCode="#,##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000000"/>
                    </a:solidFill>
                    <a:latin typeface="Helvetica"/>
                  </a:defRPr>
                </a:pPr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'Capital '!$A$3:$A$23</c:f>
              <c:strCache>
                <c:ptCount val="21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</c:strCache>
            </c:strRef>
          </c:cat>
          <c:val>
            <c:numRef>
              <c:f>'Capital '!$H$3:$H$23</c:f>
              <c:numCache>
                <c:ptCount val="21"/>
                <c:pt idx="0">
                  <c:v>0.000000</c:v>
                </c:pt>
                <c:pt idx="1">
                  <c:v>0.000000</c:v>
                </c:pt>
                <c:pt idx="2">
                  <c:v>49.103000</c:v>
                </c:pt>
                <c:pt idx="3">
                  <c:v>49.103000</c:v>
                </c:pt>
                <c:pt idx="4">
                  <c:v>49.103000</c:v>
                </c:pt>
                <c:pt idx="5">
                  <c:v>49.103000</c:v>
                </c:pt>
                <c:pt idx="6">
                  <c:v>148.934000</c:v>
                </c:pt>
                <c:pt idx="7">
                  <c:v>148.934000</c:v>
                </c:pt>
                <c:pt idx="8">
                  <c:v>148.934000</c:v>
                </c:pt>
                <c:pt idx="9">
                  <c:v>148.934000</c:v>
                </c:pt>
                <c:pt idx="10">
                  <c:v>148.934000</c:v>
                </c:pt>
                <c:pt idx="11">
                  <c:v>-103.066000</c:v>
                </c:pt>
                <c:pt idx="12">
                  <c:v>-351.066000</c:v>
                </c:pt>
                <c:pt idx="13">
                  <c:v>-451.066000</c:v>
                </c:pt>
                <c:pt idx="14">
                  <c:v>-451.066000</c:v>
                </c:pt>
                <c:pt idx="15">
                  <c:v>-451.066000</c:v>
                </c:pt>
                <c:pt idx="16">
                  <c:v>-728.066000</c:v>
                </c:pt>
                <c:pt idx="17">
                  <c:v>-1688.066000</c:v>
                </c:pt>
                <c:pt idx="18">
                  <c:v>-1688.066000</c:v>
                </c:pt>
                <c:pt idx="19">
                  <c:v>-1688.066000</c:v>
                </c:pt>
                <c:pt idx="20">
                  <c:v>-1688.066000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'Capital '!$I$2</c:f>
              <c:strCache>
                <c:ptCount val="1"/>
                <c:pt idx="0">
                  <c:v>Total </c:v>
                </c:pt>
              </c:strCache>
            </c:strRef>
          </c:tx>
          <c:spPr>
            <a:solidFill>
              <a:srgbClr val="FFFFFF"/>
            </a:solidFill>
            <a:ln w="50800" cap="flat">
              <a:solidFill>
                <a:schemeClr val="accent4">
                  <a:hueOff val="-461056"/>
                  <a:satOff val="4338"/>
                  <a:lumOff val="-10225"/>
                </a:schemeClr>
              </a:solidFill>
              <a:prstDash val="solid"/>
              <a:miter lim="400000"/>
            </a:ln>
            <a:effectLst/>
          </c:spPr>
          <c:marker>
            <c:symbol val="none"/>
            <c:size val="4"/>
            <c:spPr>
              <a:solidFill>
                <a:srgbClr val="FFFFFF"/>
              </a:solidFill>
              <a:ln w="50800" cap="flat">
                <a:solidFill>
                  <a:schemeClr val="accent4">
                    <a:hueOff val="-461056"/>
                    <a:satOff val="4338"/>
                    <a:lumOff val="-10225"/>
                  </a:schemeClr>
                </a:solidFill>
                <a:prstDash val="solid"/>
                <a:miter lim="400000"/>
              </a:ln>
              <a:effectLst/>
            </c:spPr>
          </c:marker>
          <c:dLbls>
            <c:numFmt formatCode="#,##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000000"/>
                    </a:solidFill>
                    <a:latin typeface="Helvetica"/>
                  </a:defRPr>
                </a:pPr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'Capital '!$A$3:$A$23</c:f>
              <c:strCache>
                <c:ptCount val="21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</c:strCache>
            </c:strRef>
          </c:cat>
          <c:val>
            <c:numRef>
              <c:f>'Capital '!$I$3:$I$23</c:f>
              <c:numCache>
                <c:ptCount val="21"/>
                <c:pt idx="0">
                  <c:v>-0.044000</c:v>
                </c:pt>
                <c:pt idx="1">
                  <c:v>-0.044000</c:v>
                </c:pt>
                <c:pt idx="2">
                  <c:v>124.059000</c:v>
                </c:pt>
                <c:pt idx="3">
                  <c:v>371.938000</c:v>
                </c:pt>
                <c:pt idx="4">
                  <c:v>1446.691000</c:v>
                </c:pt>
                <c:pt idx="5">
                  <c:v>2111.263000</c:v>
                </c:pt>
                <c:pt idx="6">
                  <c:v>2201.519000</c:v>
                </c:pt>
                <c:pt idx="7">
                  <c:v>2186.724000</c:v>
                </c:pt>
                <c:pt idx="8">
                  <c:v>1691.416000</c:v>
                </c:pt>
                <c:pt idx="9">
                  <c:v>1534.416000</c:v>
                </c:pt>
                <c:pt idx="10">
                  <c:v>1275.416000</c:v>
                </c:pt>
                <c:pt idx="11">
                  <c:v>818.416000</c:v>
                </c:pt>
                <c:pt idx="12">
                  <c:v>611.416000</c:v>
                </c:pt>
                <c:pt idx="13">
                  <c:v>254.416000</c:v>
                </c:pt>
                <c:pt idx="14">
                  <c:v>-130.584000</c:v>
                </c:pt>
                <c:pt idx="15">
                  <c:v>-208.584000</c:v>
                </c:pt>
                <c:pt idx="16">
                  <c:v>-752.584000</c:v>
                </c:pt>
                <c:pt idx="17">
                  <c:v>1077.416000</c:v>
                </c:pt>
                <c:pt idx="18">
                  <c:v>1077.416000</c:v>
                </c:pt>
                <c:pt idx="19">
                  <c:v>1077.416000</c:v>
                </c:pt>
                <c:pt idx="20">
                  <c:v>1077.416000</c:v>
                </c:pt>
              </c:numCache>
            </c:numRef>
          </c:val>
          <c:smooth val="0"/>
        </c:ser>
        <c:marker val="1"/>
        <c:axId val="2094734552"/>
        <c:axId val="2094734553"/>
      </c:lineChart>
      <c:catAx>
        <c:axId val="2094734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 cap="flat">
            <a:solidFill>
              <a:srgbClr val="000000"/>
            </a:solidFill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3"/>
        <c:crosses val="autoZero"/>
        <c:auto val="1"/>
        <c:lblAlgn val="ctr"/>
        <c:noMultiLvlLbl val="1"/>
      </c:catAx>
      <c:valAx>
        <c:axId val="2094734553"/>
        <c:scaling>
          <c:orientation val="minMax"/>
        </c:scaling>
        <c:delete val="0"/>
        <c:axPos val="l"/>
        <c:majorGridlines>
          <c:spPr>
            <a:ln w="12700" cap="flat">
              <a:solidFill>
                <a:srgbClr val="B8B8B8"/>
              </a:solidFill>
              <a:prstDash val="solid"/>
              <a:miter lim="400000"/>
            </a:ln>
          </c:spPr>
        </c:majorGridlines>
        <c:numFmt formatCode="General" sourceLinked="1"/>
        <c:majorTickMark val="none"/>
        <c:minorTickMark val="none"/>
        <c:tickLblPos val="nextTo"/>
        <c:spPr>
          <a:ln w="12700" cap="flat">
            <a:noFill/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2"/>
        <c:crosses val="autoZero"/>
        <c:crossBetween val="midCat"/>
        <c:majorUnit val="1312.5"/>
        <c:minorUnit val="656.25"/>
      </c:valAx>
      <c:spPr>
        <a:noFill/>
        <a:ln w="12700" cap="flat">
          <a:noFill/>
          <a:miter lim="400000"/>
        </a:ln>
        <a:effectLst/>
      </c:spPr>
    </c:plotArea>
    <c:legend>
      <c:legendPos val="r"/>
      <c:layout>
        <c:manualLayout>
          <c:xMode val="edge"/>
          <c:yMode val="edge"/>
          <c:x val="0.114511"/>
          <c:y val="0.053725"/>
          <c:w val="0.35363"/>
          <c:h val="0.158808"/>
        </c:manualLayout>
      </c:layout>
      <c:overlay val="1"/>
      <c:spPr>
        <a:noFill/>
        <a:ln w="12700" cap="flat">
          <a:noFill/>
          <a:miter lim="400000"/>
        </a:ln>
        <a:effectLst/>
      </c:spPr>
      <c:txPr>
        <a:bodyPr rot="0"/>
        <a:lstStyle/>
        <a:p>
          <a:pPr>
            <a:defRPr b="0" i="0" strike="noStrike" sz="1000" u="none">
              <a:solidFill>
                <a:srgbClr val="000000"/>
              </a:solidFill>
              <a:latin typeface="Helvetica Neue"/>
            </a:defRPr>
          </a:pPr>
        </a:p>
      </c:txPr>
    </c:legend>
    <c:plotVisOnly val="1"/>
    <c:dispBlanksAs val="gap"/>
  </c:chart>
  <c:spPr>
    <a:noFill/>
    <a:ln>
      <a:noFill/>
    </a:ln>
    <a:effectLst/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/Relationships>

</file>

<file path=xl/drawings/_rels/drawing2.xml.rels><?xml version="1.0" encoding="UTF-8"?>
<Relationships xmlns="http://schemas.openxmlformats.org/package/2006/relationships"><Relationship Id="rId1" Type="http://schemas.openxmlformats.org/officeDocument/2006/relationships/chart" Target="../charts/chart1.xml"/></Relationships>

</file>

<file path=xl/drawings/_rels/drawing3.xml.rels><?xml version="1.0" encoding="UTF-8"?>
<Relationships xmlns="http://schemas.openxmlformats.org/package/2006/relationships"><Relationship Id="rId1" Type="http://schemas.openxmlformats.org/officeDocument/2006/relationships/chart" Target="../charts/chart2.xml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6</xdr:col>
      <xdr:colOff>540962</xdr:colOff>
      <xdr:row>2</xdr:row>
      <xdr:rowOff>184223</xdr:rowOff>
    </xdr:from>
    <xdr:to>
      <xdr:col>13</xdr:col>
      <xdr:colOff>653409</xdr:colOff>
      <xdr:row>49</xdr:row>
      <xdr:rowOff>77981</xdr:rowOff>
    </xdr:to>
    <xdr:pic>
      <xdr:nvPicPr>
        <xdr:cNvPr id="2" name="Image" descr="Image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5138362" y="837638"/>
          <a:ext cx="8824647" cy="11866684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drawings/drawing2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1</xdr:col>
      <xdr:colOff>496345</xdr:colOff>
      <xdr:row>62</xdr:row>
      <xdr:rowOff>156387</xdr:rowOff>
    </xdr:from>
    <xdr:to>
      <xdr:col>6</xdr:col>
      <xdr:colOff>585556</xdr:colOff>
      <xdr:row>75</xdr:row>
      <xdr:rowOff>208013</xdr:rowOff>
    </xdr:to>
    <xdr:graphicFrame>
      <xdr:nvGraphicFramePr>
        <xdr:cNvPr id="4" name="2D Column Chart"/>
        <xdr:cNvGraphicFramePr/>
      </xdr:nvGraphicFramePr>
      <xdr:xfrm>
        <a:off x="1334545" y="16602252"/>
        <a:ext cx="3924612" cy="3337117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81362</xdr:colOff>
      <xdr:row>57</xdr:row>
      <xdr:rowOff>84326</xdr:rowOff>
    </xdr:from>
    <xdr:to>
      <xdr:col>7</xdr:col>
      <xdr:colOff>22455</xdr:colOff>
      <xdr:row>62</xdr:row>
      <xdr:rowOff>241377</xdr:rowOff>
    </xdr:to>
    <xdr:sp>
      <xdr:nvSpPr>
        <xdr:cNvPr id="5" name="THE NASDAQ IS NOT TOO EXPENSIVE PART 2, FUNDAMENTAL VALUATION"/>
        <xdr:cNvSpPr txBox="1"/>
      </xdr:nvSpPr>
      <xdr:spPr>
        <a:xfrm>
          <a:off x="919562" y="15266541"/>
          <a:ext cx="4538494" cy="1420702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square" lIns="50800" tIns="50800" rIns="50800" bIns="50800" numCol="1" anchor="t">
          <a:spAutoFit/>
        </a:bodyPr>
        <a:lstStyle/>
        <a:p>
          <a:pPr marL="0" marR="0" indent="0" algn="ctr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1" baseline="0" cap="none" i="0" spc="0" strike="noStrike" sz="25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25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THE NASDAQ IS </a:t>
          </a:r>
          <a:r>
            <a:rPr b="1" baseline="0" cap="none" i="0" spc="0" strike="noStrike" sz="2500" u="none">
              <a:solidFill>
                <a:schemeClr val="accent5">
                  <a:hueOff val="-82419"/>
                  <a:satOff val="-9513"/>
                  <a:lumOff val="-16343"/>
                </a:schemeClr>
              </a:solidFill>
              <a:uFillTx/>
              <a:latin typeface="+mn-lt"/>
              <a:ea typeface="+mn-ea"/>
              <a:cs typeface="+mn-cs"/>
              <a:sym typeface="Helvetica Neue"/>
            </a:rPr>
            <a:t>NOT</a:t>
          </a:r>
          <a:r>
            <a:rPr b="1" baseline="0" cap="none" i="0" spc="0" strike="noStrike" sz="25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 TOO EXPENSIVE PART 2, FUNDAMENTAL VALUATION </a:t>
          </a:r>
        </a:p>
      </xdr:txBody>
    </xdr:sp>
    <xdr:clientData/>
  </xdr:twoCellAnchor>
</xdr:wsDr>
</file>

<file path=xl/drawings/drawing3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0</xdr:col>
      <xdr:colOff>580613</xdr:colOff>
      <xdr:row>31</xdr:row>
      <xdr:rowOff>8639</xdr:rowOff>
    </xdr:from>
    <xdr:to>
      <xdr:col>5</xdr:col>
      <xdr:colOff>39021</xdr:colOff>
      <xdr:row>44</xdr:row>
      <xdr:rowOff>60265</xdr:rowOff>
    </xdr:to>
    <xdr:graphicFrame>
      <xdr:nvGraphicFramePr>
        <xdr:cNvPr id="7" name="2D Line Chart"/>
        <xdr:cNvGraphicFramePr/>
      </xdr:nvGraphicFramePr>
      <xdr:xfrm>
        <a:off x="580613" y="7988684"/>
        <a:ext cx="3649409" cy="3337117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53711</xdr:colOff>
      <xdr:row>24</xdr:row>
      <xdr:rowOff>113017</xdr:rowOff>
    </xdr:from>
    <xdr:to>
      <xdr:col>5</xdr:col>
      <xdr:colOff>724551</xdr:colOff>
      <xdr:row>31</xdr:row>
      <xdr:rowOff>202759</xdr:rowOff>
    </xdr:to>
    <xdr:sp>
      <xdr:nvSpPr>
        <xdr:cNvPr id="8" name="AMZN BECAME A GREAT STOCK THANKS TO A PERFECT CAPITAL UP &amp; DOWN"/>
        <xdr:cNvSpPr txBox="1"/>
      </xdr:nvSpPr>
      <xdr:spPr>
        <a:xfrm>
          <a:off x="53711" y="6323952"/>
          <a:ext cx="4861841" cy="1858853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square" lIns="50800" tIns="50800" rIns="50800" bIns="50800" numCol="1" anchor="t">
          <a:spAutoFit/>
        </a:bodyPr>
        <a:lstStyle/>
        <a:p>
          <a:pPr marL="0" marR="0" indent="0" algn="ctr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1" baseline="0" cap="none" i="0" spc="0" strike="noStrike" sz="25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25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AMZN BECAME A GREAT STOCK THANKS TO A </a:t>
          </a:r>
          <a:r>
            <a:rPr b="1" baseline="0" cap="none" i="0" spc="0" strike="noStrike" sz="2500" u="none">
              <a:solidFill>
                <a:schemeClr val="accent5">
                  <a:hueOff val="-82419"/>
                  <a:satOff val="-9513"/>
                  <a:lumOff val="-16343"/>
                </a:schemeClr>
              </a:solidFill>
              <a:uFillTx/>
              <a:latin typeface="+mn-lt"/>
              <a:ea typeface="+mn-ea"/>
              <a:cs typeface="+mn-cs"/>
              <a:sym typeface="Helvetica Neue"/>
            </a:rPr>
            <a:t>PERFECT</a:t>
          </a:r>
          <a:r>
            <a:rPr b="1" baseline="0" cap="none" i="0" spc="0" strike="noStrike" sz="25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 CAPITAL UP &amp; DOWN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</Relationships>

</file>

<file path=xl/worksheets/_rels/sheet6.xml.rels><?xml version="1.0" encoding="UTF-8"?>
<Relationships xmlns="http://schemas.openxmlformats.org/package/2006/relationships"><Relationship Id="rId1" Type="http://schemas.openxmlformats.org/officeDocument/2006/relationships/drawing" Target="../drawings/drawing3.x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B3:F49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6.53906" style="1" customWidth="1"/>
    <col min="2" max="2" width="16.5078" style="1" customWidth="1"/>
    <col min="3" max="6" width="9.25781" style="1" customWidth="1"/>
    <col min="7" max="16384" width="16.3516" style="1" customWidth="1"/>
  </cols>
  <sheetData>
    <row r="1" ht="23.8" customHeight="1"/>
    <row r="2" ht="27.65" customHeight="1">
      <c r="B2" t="s" s="2">
        <v>0</v>
      </c>
      <c r="C2" s="2"/>
      <c r="D2" s="2"/>
      <c r="E2" s="2"/>
      <c r="F2" s="2"/>
    </row>
    <row r="3" ht="20.25" customHeight="1">
      <c r="B3" t="s" s="3">
        <v>1</v>
      </c>
      <c r="C3" s="4"/>
      <c r="D3" s="4"/>
      <c r="E3" t="s" s="5">
        <v>2</v>
      </c>
      <c r="F3" s="4"/>
    </row>
    <row r="4" ht="20.25" customHeight="1">
      <c r="B4" t="s" s="6">
        <v>3</v>
      </c>
      <c r="C4" s="7">
        <f>AVERAGE('Sales'!E29:E32)</f>
        <v>0.0273591278841715</v>
      </c>
      <c r="D4" s="8"/>
      <c r="E4" s="8"/>
      <c r="F4" s="8">
        <f>AVERAGE(C5:F5)</f>
        <v>0.03</v>
      </c>
    </row>
    <row r="5" ht="20.05" customHeight="1">
      <c r="B5" t="s" s="9">
        <v>4</v>
      </c>
      <c r="C5" s="10">
        <v>0.04</v>
      </c>
      <c r="D5" s="11">
        <v>0.04</v>
      </c>
      <c r="E5" s="11">
        <v>0.18</v>
      </c>
      <c r="F5" s="11">
        <v>-0.14</v>
      </c>
    </row>
    <row r="6" ht="20.05" customHeight="1">
      <c r="B6" t="s" s="9">
        <v>5</v>
      </c>
      <c r="C6" s="12">
        <f>'Sales'!C32*(1+C5)</f>
        <v>121101.76</v>
      </c>
      <c r="D6" s="13">
        <f>C6*(1+D5)</f>
        <v>125945.8304</v>
      </c>
      <c r="E6" s="13">
        <f>D6*(1+E5)</f>
        <v>148616.079872</v>
      </c>
      <c r="F6" s="13">
        <f>E6*(1+F5)</f>
        <v>127809.82868992</v>
      </c>
    </row>
    <row r="7" ht="20.05" customHeight="1">
      <c r="B7" t="s" s="9">
        <v>6</v>
      </c>
      <c r="C7" s="14">
        <f>AVERAGE('Sales'!G32)</f>
        <v>-0.810214603997306</v>
      </c>
      <c r="D7" s="15">
        <f>C7</f>
        <v>-0.810214603997306</v>
      </c>
      <c r="E7" s="15">
        <f>D7</f>
        <v>-0.810214603997306</v>
      </c>
      <c r="F7" s="15">
        <f>E7</f>
        <v>-0.810214603997306</v>
      </c>
    </row>
    <row r="8" ht="20.05" customHeight="1">
      <c r="B8" t="s" s="9">
        <v>7</v>
      </c>
      <c r="C8" s="16">
        <f>C7*C6</f>
        <v>-98118.414521776795</v>
      </c>
      <c r="D8" s="17">
        <f>D7*D6</f>
        <v>-102043.151102648</v>
      </c>
      <c r="E8" s="17">
        <f>E7*E6</f>
        <v>-120410.918301124</v>
      </c>
      <c r="F8" s="17">
        <f>F7*F6</f>
        <v>-103553.389738967</v>
      </c>
    </row>
    <row r="9" ht="20.05" customHeight="1">
      <c r="B9" t="s" s="9">
        <v>8</v>
      </c>
      <c r="C9" s="16">
        <f>C6+C8</f>
        <v>22983.3454782232</v>
      </c>
      <c r="D9" s="17">
        <f>D6+D8</f>
        <v>23902.679297352</v>
      </c>
      <c r="E9" s="17">
        <f>E6+E8</f>
        <v>28205.161570876</v>
      </c>
      <c r="F9" s="17">
        <f>F6+F8</f>
        <v>24256.438950953</v>
      </c>
    </row>
    <row r="10" ht="20.05" customHeight="1">
      <c r="B10" t="s" s="9">
        <v>9</v>
      </c>
      <c r="C10" s="16">
        <f>AVERAGE('Cashflow '!G28)</f>
        <v>-8666</v>
      </c>
      <c r="D10" s="17">
        <f>C10</f>
        <v>-8666</v>
      </c>
      <c r="E10" s="17">
        <f>D10</f>
        <v>-8666</v>
      </c>
      <c r="F10" s="17">
        <f>E10</f>
        <v>-8666</v>
      </c>
    </row>
    <row r="11" ht="20.05" customHeight="1">
      <c r="B11" t="s" s="9">
        <v>10</v>
      </c>
      <c r="C11" s="16">
        <f>'Cashflow '!H32</f>
        <v>-2777</v>
      </c>
      <c r="D11" s="17">
        <f>C11</f>
        <v>-2777</v>
      </c>
      <c r="E11" s="17">
        <f>D11</f>
        <v>-2777</v>
      </c>
      <c r="F11" s="17">
        <f>E11</f>
        <v>-2777</v>
      </c>
    </row>
    <row r="12" ht="20.05" customHeight="1">
      <c r="B12" t="s" s="9">
        <v>11</v>
      </c>
      <c r="C12" s="16">
        <f>C13+C16+C14</f>
        <v>-14317.3454782232</v>
      </c>
      <c r="D12" s="17">
        <f>D13+D16+D14</f>
        <v>-15236.679297352</v>
      </c>
      <c r="E12" s="17">
        <f>E13+E16+E14</f>
        <v>-19539.161570876</v>
      </c>
      <c r="F12" s="17">
        <f>F13+F16+F14</f>
        <v>-15590.438950953</v>
      </c>
    </row>
    <row r="13" ht="20.05" customHeight="1">
      <c r="B13" t="s" s="9">
        <v>12</v>
      </c>
      <c r="C13" s="16">
        <f>-('Balance sheet'!G32)/20</f>
        <v>-13838.3</v>
      </c>
      <c r="D13" s="17">
        <f>-C28/20</f>
        <v>-13146.385</v>
      </c>
      <c r="E13" s="17">
        <f>-D28/20</f>
        <v>-12489.06575</v>
      </c>
      <c r="F13" s="17">
        <f>-E28/20</f>
        <v>-11864.6124625</v>
      </c>
    </row>
    <row r="14" ht="20.05" customHeight="1">
      <c r="B14" t="s" s="9">
        <v>13</v>
      </c>
      <c r="C14" s="16">
        <f>-MIN(0,C17)</f>
        <v>6228.596356533040</v>
      </c>
      <c r="D14" s="17">
        <f>-MIN(C29,D17)</f>
        <v>5260.8812107944</v>
      </c>
      <c r="E14" s="17">
        <f>-MIN(D29,E17)</f>
        <v>3312.8172787372</v>
      </c>
      <c r="F14" s="17">
        <f>-MIN(E29,F17)</f>
        <v>3872.9807772141</v>
      </c>
    </row>
    <row r="15" ht="20.05" customHeight="1">
      <c r="B15" t="s" s="9">
        <v>14</v>
      </c>
      <c r="C15" s="18">
        <v>0.7</v>
      </c>
      <c r="D15" s="17"/>
      <c r="E15" s="17"/>
      <c r="F15" s="17"/>
    </row>
    <row r="16" ht="20.05" customHeight="1">
      <c r="B16" t="s" s="9">
        <v>15</v>
      </c>
      <c r="C16" s="16">
        <f>IF(C23&gt;0,-C23*$C$15,0)</f>
        <v>-6707.641834756240</v>
      </c>
      <c r="D16" s="17">
        <f>IF(D23&gt;0,-D23*$C$15,0)</f>
        <v>-7351.1755081464</v>
      </c>
      <c r="E16" s="17">
        <f>IF(E23&gt;0,-E23*$C$15,0)</f>
        <v>-10362.9130996132</v>
      </c>
      <c r="F16" s="17">
        <f>IF(F23&gt;0,-F23*$C$15,0)</f>
        <v>-7598.8072656671</v>
      </c>
    </row>
    <row r="17" ht="20.05" customHeight="1">
      <c r="B17" t="s" s="9">
        <v>16</v>
      </c>
      <c r="C17" s="16">
        <f>C9+C10+C13+C16</f>
        <v>-6228.596356533040</v>
      </c>
      <c r="D17" s="17">
        <f>D9+D10+D13+D16</f>
        <v>-5260.8812107944</v>
      </c>
      <c r="E17" s="17">
        <f>E9+E10+E13+E16</f>
        <v>-3312.8172787372</v>
      </c>
      <c r="F17" s="17">
        <f>F9+F10+F13+F16</f>
        <v>-3872.9807772141</v>
      </c>
    </row>
    <row r="18" ht="20.05" customHeight="1">
      <c r="B18" t="s" s="9">
        <v>17</v>
      </c>
      <c r="C18" s="16">
        <f>'Balance sheet'!C32</f>
        <v>36393</v>
      </c>
      <c r="D18" s="17">
        <f>C20</f>
        <v>36393</v>
      </c>
      <c r="E18" s="17">
        <f>D20</f>
        <v>36393</v>
      </c>
      <c r="F18" s="17">
        <f>E20</f>
        <v>36393</v>
      </c>
    </row>
    <row r="19" ht="20.05" customHeight="1">
      <c r="B19" t="s" s="9">
        <v>18</v>
      </c>
      <c r="C19" s="16">
        <f>C9+C10+C12</f>
        <v>0</v>
      </c>
      <c r="D19" s="17">
        <f>D9+D10+D12</f>
        <v>0</v>
      </c>
      <c r="E19" s="17">
        <f>E9+E10+E12</f>
        <v>0</v>
      </c>
      <c r="F19" s="17">
        <f>F9+F10+F12</f>
        <v>0</v>
      </c>
    </row>
    <row r="20" ht="20.05" customHeight="1">
      <c r="B20" t="s" s="9">
        <v>19</v>
      </c>
      <c r="C20" s="16">
        <f>C18+C19</f>
        <v>36393</v>
      </c>
      <c r="D20" s="17">
        <f>D18+D19</f>
        <v>36393</v>
      </c>
      <c r="E20" s="17">
        <f>E18+E19</f>
        <v>36393</v>
      </c>
      <c r="F20" s="17">
        <f>F18+F19</f>
        <v>36393</v>
      </c>
    </row>
    <row r="21" ht="20.05" customHeight="1">
      <c r="B21" t="s" s="19">
        <v>20</v>
      </c>
      <c r="C21" s="20"/>
      <c r="D21" s="21"/>
      <c r="E21" s="21"/>
      <c r="F21" s="22"/>
    </row>
    <row r="22" ht="20.05" customHeight="1">
      <c r="B22" t="s" s="9">
        <v>21</v>
      </c>
      <c r="C22" s="16">
        <f>-AVERAGE('Cashflow '!D30)</f>
        <v>-13401</v>
      </c>
      <c r="D22" s="17">
        <f>C22</f>
        <v>-13401</v>
      </c>
      <c r="E22" s="17">
        <f>D22</f>
        <v>-13401</v>
      </c>
      <c r="F22" s="17">
        <f>E22</f>
        <v>-13401</v>
      </c>
    </row>
    <row r="23" ht="20.05" customHeight="1">
      <c r="B23" t="s" s="9">
        <v>22</v>
      </c>
      <c r="C23" s="16">
        <f>C6+C8+C22</f>
        <v>9582.3454782232</v>
      </c>
      <c r="D23" s="17">
        <f>D6+D8+D22</f>
        <v>10501.679297352</v>
      </c>
      <c r="E23" s="17">
        <f>E6+E8+E22</f>
        <v>14804.161570876</v>
      </c>
      <c r="F23" s="17">
        <f>F6+F8+F22</f>
        <v>10855.438950953</v>
      </c>
    </row>
    <row r="24" ht="20.05" customHeight="1">
      <c r="B24" t="s" s="19">
        <v>23</v>
      </c>
      <c r="C24" s="20"/>
      <c r="D24" s="21"/>
      <c r="E24" s="21"/>
      <c r="F24" s="17"/>
    </row>
    <row r="25" ht="20.05" customHeight="1">
      <c r="B25" t="s" s="9">
        <v>24</v>
      </c>
      <c r="C25" s="16">
        <f>'Balance sheet'!F32+'Balance sheet'!E32-C10</f>
        <v>544565</v>
      </c>
      <c r="D25" s="17">
        <f>C25-D10</f>
        <v>553231</v>
      </c>
      <c r="E25" s="17">
        <f>D25-E10</f>
        <v>561897</v>
      </c>
      <c r="F25" s="17">
        <f>E25-F10</f>
        <v>570563</v>
      </c>
    </row>
    <row r="26" ht="20.05" customHeight="1">
      <c r="B26" t="s" s="9">
        <v>25</v>
      </c>
      <c r="C26" s="16">
        <f>'Balance sheet'!F32-C22</f>
        <v>174926</v>
      </c>
      <c r="D26" s="17">
        <f>C26-D22</f>
        <v>188327</v>
      </c>
      <c r="E26" s="17">
        <f>D26-E22</f>
        <v>201728</v>
      </c>
      <c r="F26" s="17">
        <f>E26-F22</f>
        <v>215129</v>
      </c>
    </row>
    <row r="27" ht="20.05" customHeight="1">
      <c r="B27" t="s" s="9">
        <v>26</v>
      </c>
      <c r="C27" s="16">
        <f>C25-C26</f>
        <v>369639</v>
      </c>
      <c r="D27" s="17">
        <f>D25-D26</f>
        <v>364904</v>
      </c>
      <c r="E27" s="17">
        <f>E25-E26</f>
        <v>360169</v>
      </c>
      <c r="F27" s="17">
        <f>F25-F26</f>
        <v>355434</v>
      </c>
    </row>
    <row r="28" ht="20.05" customHeight="1">
      <c r="B28" t="s" s="9">
        <v>12</v>
      </c>
      <c r="C28" s="16">
        <f>'Balance sheet'!G32+C13</f>
        <v>262927.7</v>
      </c>
      <c r="D28" s="17">
        <f>C28+D13</f>
        <v>249781.315</v>
      </c>
      <c r="E28" s="17">
        <f>D28+E13</f>
        <v>237292.24925</v>
      </c>
      <c r="F28" s="17">
        <f>E28+F13</f>
        <v>225427.6367875</v>
      </c>
    </row>
    <row r="29" ht="20.05" customHeight="1">
      <c r="B29" t="s" s="9">
        <v>13</v>
      </c>
      <c r="C29" s="16">
        <f>C14</f>
        <v>6228.596356533040</v>
      </c>
      <c r="D29" s="17">
        <f>C29+D14</f>
        <v>11489.4775673274</v>
      </c>
      <c r="E29" s="17">
        <f>D29+E14</f>
        <v>14802.2948460646</v>
      </c>
      <c r="F29" s="17">
        <f>E29+F14</f>
        <v>18675.2756232787</v>
      </c>
    </row>
    <row r="30" ht="20.05" customHeight="1">
      <c r="B30" t="s" s="9">
        <v>27</v>
      </c>
      <c r="C30" s="16">
        <f>'Balance sheet'!H32+C23+C16</f>
        <v>136875.703643467</v>
      </c>
      <c r="D30" s="17">
        <f>C30+D23+D16</f>
        <v>140026.207432673</v>
      </c>
      <c r="E30" s="17">
        <f>D30+E23+E16</f>
        <v>144467.455903936</v>
      </c>
      <c r="F30" s="17">
        <f>E30+F23+F16</f>
        <v>147724.087589222</v>
      </c>
    </row>
    <row r="31" ht="20.05" customHeight="1">
      <c r="B31" t="s" s="9">
        <v>28</v>
      </c>
      <c r="C31" s="16">
        <f>C28+C29+C30-C20-C27</f>
        <v>4e-11</v>
      </c>
      <c r="D31" s="17">
        <f>D28+D29+D30-D20-D27</f>
        <v>4e-10</v>
      </c>
      <c r="E31" s="17">
        <f>E28+E29+E30-E20-E27</f>
        <v>6e-10</v>
      </c>
      <c r="F31" s="17">
        <f>F28+F29+F30-F20-F27</f>
        <v>7e-10</v>
      </c>
    </row>
    <row r="32" ht="20.05" customHeight="1">
      <c r="B32" t="s" s="9">
        <v>29</v>
      </c>
      <c r="C32" s="16">
        <f>C20-C28-C29</f>
        <v>-232763.296356533</v>
      </c>
      <c r="D32" s="17">
        <f>D20-D28-D29</f>
        <v>-224877.792567327</v>
      </c>
      <c r="E32" s="17">
        <f>E20-E28-E29</f>
        <v>-215701.544096065</v>
      </c>
      <c r="F32" s="17">
        <f>F20-F28-F29</f>
        <v>-207709.912410779</v>
      </c>
    </row>
    <row r="33" ht="20.05" customHeight="1">
      <c r="B33" t="s" s="9">
        <v>30</v>
      </c>
      <c r="C33" s="16"/>
      <c r="D33" s="17"/>
      <c r="E33" s="17"/>
      <c r="F33" s="17"/>
    </row>
    <row r="34" ht="20.05" customHeight="1">
      <c r="B34" t="s" s="9">
        <v>31</v>
      </c>
      <c r="C34" s="16">
        <f>'Cashflow '!O32-(C12-C11)</f>
        <v>-26794.6545217768</v>
      </c>
      <c r="D34" s="17">
        <f>C34-(D12-D11)</f>
        <v>-14334.9752244248</v>
      </c>
      <c r="E34" s="17">
        <f>D34-(E12-E11)</f>
        <v>2427.1863464512</v>
      </c>
      <c r="F34" s="17">
        <f>E34-(F12-F11)</f>
        <v>15240.6252974042</v>
      </c>
    </row>
    <row r="35" ht="20.05" customHeight="1">
      <c r="B35" t="s" s="9">
        <v>32</v>
      </c>
      <c r="C35" s="16"/>
      <c r="D35" s="17"/>
      <c r="E35" s="17"/>
      <c r="F35" s="17">
        <v>1470662705152</v>
      </c>
    </row>
    <row r="36" ht="20.05" customHeight="1">
      <c r="B36" t="s" s="9">
        <v>32</v>
      </c>
      <c r="C36" s="16"/>
      <c r="D36" s="17"/>
      <c r="E36" s="17"/>
      <c r="F36" s="17">
        <f>F35/1000000</f>
        <v>1470662.705152</v>
      </c>
    </row>
    <row r="37" ht="20.05" customHeight="1">
      <c r="B37" t="s" s="9">
        <v>33</v>
      </c>
      <c r="C37" s="16"/>
      <c r="D37" s="17"/>
      <c r="E37" s="17"/>
      <c r="F37" s="23">
        <f>F36/(F20+F27)</f>
        <v>3.75334702598851</v>
      </c>
    </row>
    <row r="38" ht="20.05" customHeight="1">
      <c r="B38" t="s" s="9">
        <v>34</v>
      </c>
      <c r="C38" s="16"/>
      <c r="D38" s="17"/>
      <c r="E38" s="17"/>
      <c r="F38" s="11">
        <f>-(C16+D16+E16+F16)/F36</f>
        <v>0.0217728630745916</v>
      </c>
    </row>
    <row r="39" ht="20.05" customHeight="1">
      <c r="B39" t="s" s="9">
        <v>35</v>
      </c>
      <c r="C39" s="16"/>
      <c r="D39" s="17"/>
      <c r="E39" s="17"/>
      <c r="F39" s="17">
        <f>SUM(C9:F11)</f>
        <v>53575.6252974042</v>
      </c>
    </row>
    <row r="40" ht="20.05" customHeight="1">
      <c r="B40" t="s" s="9">
        <v>36</v>
      </c>
      <c r="C40" s="16"/>
      <c r="D40" s="17"/>
      <c r="E40" s="17"/>
      <c r="F40" s="17">
        <f>'Balance sheet'!E32/F39</f>
        <v>6.98776725277229</v>
      </c>
    </row>
    <row r="41" ht="20.05" customHeight="1">
      <c r="B41" t="s" s="9">
        <v>30</v>
      </c>
      <c r="C41" s="16"/>
      <c r="D41" s="17"/>
      <c r="E41" s="17"/>
      <c r="F41" s="17">
        <f>F36/F39</f>
        <v>27.4502200765402</v>
      </c>
    </row>
    <row r="42" ht="20.05" customHeight="1">
      <c r="B42" t="s" s="9">
        <v>37</v>
      </c>
      <c r="C42" s="16"/>
      <c r="D42" s="17"/>
      <c r="E42" s="17"/>
      <c r="F42" s="17">
        <v>40</v>
      </c>
    </row>
    <row r="43" ht="20.05" customHeight="1">
      <c r="B43" t="s" s="9">
        <v>38</v>
      </c>
      <c r="C43" s="16"/>
      <c r="D43" s="17"/>
      <c r="E43" s="17"/>
      <c r="F43" s="17">
        <f>F39*F42</f>
        <v>2143025.01189617</v>
      </c>
    </row>
    <row r="44" ht="20.05" customHeight="1">
      <c r="B44" t="s" s="9">
        <v>39</v>
      </c>
      <c r="C44" s="16"/>
      <c r="D44" s="17"/>
      <c r="E44" s="17"/>
      <c r="F44" s="17">
        <f>F36/F46</f>
        <v>591.665978102936</v>
      </c>
    </row>
    <row r="45" ht="20.05" customHeight="1">
      <c r="B45" t="s" s="9">
        <v>40</v>
      </c>
      <c r="C45" s="16"/>
      <c r="D45" s="17"/>
      <c r="E45" s="17"/>
      <c r="F45" s="17">
        <f>F43/F44</f>
        <v>3622.018319808370</v>
      </c>
    </row>
    <row r="46" ht="20.05" customHeight="1">
      <c r="B46" t="s" s="9">
        <v>41</v>
      </c>
      <c r="C46" s="16"/>
      <c r="D46" s="17"/>
      <c r="E46" s="17"/>
      <c r="F46" s="17">
        <v>2485.63</v>
      </c>
    </row>
    <row r="47" ht="20.05" customHeight="1">
      <c r="B47" t="s" s="9">
        <v>42</v>
      </c>
      <c r="C47" s="16"/>
      <c r="D47" s="17"/>
      <c r="E47" s="17"/>
      <c r="F47" s="11">
        <f>F45/F46-1</f>
        <v>0.45718321705498</v>
      </c>
    </row>
    <row r="48" ht="20.05" customHeight="1">
      <c r="B48" t="s" s="9">
        <v>43</v>
      </c>
      <c r="C48" s="16"/>
      <c r="D48" s="17"/>
      <c r="E48" s="17"/>
      <c r="F48" s="11">
        <f>'Sales'!C32/'Sales'!C28-1</f>
        <v>0.0730385742457472</v>
      </c>
    </row>
    <row r="49" ht="20.05" customHeight="1">
      <c r="B49" t="s" s="9">
        <v>44</v>
      </c>
      <c r="C49" s="16"/>
      <c r="D49" s="17"/>
      <c r="E49" s="17"/>
      <c r="F49" s="11">
        <f>'Sales'!F35/'Sales'!E35-1</f>
        <v>-0.018029280182654</v>
      </c>
    </row>
  </sheetData>
  <mergeCells count="1">
    <mergeCell ref="B2:F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B3:H36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11.0078" style="24" customWidth="1"/>
    <col min="2" max="2" width="10.3984" style="24" customWidth="1"/>
    <col min="3" max="8" width="10.0703" style="24" customWidth="1"/>
    <col min="9" max="16384" width="16.3516" style="24" customWidth="1"/>
  </cols>
  <sheetData>
    <row r="1" ht="55.8" customHeight="1"/>
    <row r="2" ht="27.65" customHeight="1">
      <c r="B2" t="s" s="2">
        <v>5</v>
      </c>
      <c r="C2" s="2"/>
      <c r="D2" s="2"/>
      <c r="E2" s="2"/>
      <c r="F2" s="2"/>
      <c r="G2" s="2"/>
      <c r="H2" s="2"/>
    </row>
    <row r="3" ht="32.25" customHeight="1">
      <c r="B3" t="s" s="5">
        <v>1</v>
      </c>
      <c r="C3" t="s" s="5">
        <v>5</v>
      </c>
      <c r="D3" t="s" s="5">
        <v>37</v>
      </c>
      <c r="E3" t="s" s="5">
        <v>45</v>
      </c>
      <c r="F3" t="s" s="5">
        <v>46</v>
      </c>
      <c r="G3" t="s" s="5">
        <v>46</v>
      </c>
      <c r="H3" t="s" s="5">
        <v>37</v>
      </c>
    </row>
    <row r="4" ht="20.25" customHeight="1">
      <c r="B4" s="25">
        <v>2015</v>
      </c>
      <c r="C4" s="26">
        <v>22717</v>
      </c>
      <c r="D4" s="27"/>
      <c r="E4" s="28"/>
      <c r="F4" s="28"/>
      <c r="G4" s="28"/>
      <c r="H4" s="28"/>
    </row>
    <row r="5" ht="20.05" customHeight="1">
      <c r="B5" s="29"/>
      <c r="C5" s="12">
        <v>23185</v>
      </c>
      <c r="D5" s="13"/>
      <c r="E5" s="11">
        <f>C5/C4-1</f>
        <v>0.0206013117929304</v>
      </c>
      <c r="F5" s="11"/>
      <c r="G5" s="11"/>
      <c r="H5" s="11"/>
    </row>
    <row r="6" ht="20.05" customHeight="1">
      <c r="B6" s="29"/>
      <c r="C6" s="12">
        <v>25358</v>
      </c>
      <c r="D6" s="13"/>
      <c r="E6" s="11">
        <f>C6/C5-1</f>
        <v>0.09372439076989431</v>
      </c>
      <c r="F6" s="11"/>
      <c r="G6" s="11"/>
      <c r="H6" s="11"/>
    </row>
    <row r="7" ht="20.05" customHeight="1">
      <c r="B7" s="29"/>
      <c r="C7" s="12">
        <v>35747</v>
      </c>
      <c r="D7" s="13"/>
      <c r="E7" s="11">
        <f>C7/C6-1</f>
        <v>0.409693193469517</v>
      </c>
      <c r="F7" s="11"/>
      <c r="G7" s="11"/>
      <c r="H7" s="11"/>
    </row>
    <row r="8" ht="20.05" customHeight="1">
      <c r="B8" s="30">
        <v>2016</v>
      </c>
      <c r="C8" s="12">
        <v>29128</v>
      </c>
      <c r="D8" s="13"/>
      <c r="E8" s="11">
        <f>C8/C7-1</f>
        <v>-0.185162391249615</v>
      </c>
      <c r="F8" s="11">
        <f>('Cashflow '!C8+'Cashflow '!D8-'Cashflow '!E8-C8)/C8</f>
        <v>-0.772280966767372</v>
      </c>
      <c r="G8" s="11"/>
      <c r="H8" s="11"/>
    </row>
    <row r="9" ht="20.05" customHeight="1">
      <c r="B9" s="29"/>
      <c r="C9" s="12">
        <v>30404</v>
      </c>
      <c r="D9" s="13"/>
      <c r="E9" s="11">
        <f>C9/C8-1</f>
        <v>0.0438066465256798</v>
      </c>
      <c r="F9" s="11">
        <f>('Cashflow '!C9+'Cashflow '!D9-'Cashflow '!E9-C9)/C9</f>
        <v>-0.935732140507828</v>
      </c>
      <c r="G9" s="11"/>
      <c r="H9" s="11"/>
    </row>
    <row r="10" ht="20.05" customHeight="1">
      <c r="B10" s="29"/>
      <c r="C10" s="12">
        <v>32714</v>
      </c>
      <c r="D10" s="13"/>
      <c r="E10" s="11">
        <f>C10/C9-1</f>
        <v>0.0759768451519537</v>
      </c>
      <c r="F10" s="11">
        <f>('Cashflow '!C10+'Cashflow '!D10-'Cashflow '!E10-C10)/C10</f>
        <v>-0.999663752521856</v>
      </c>
      <c r="G10" s="11"/>
      <c r="H10" s="11"/>
    </row>
    <row r="11" ht="20.05" customHeight="1">
      <c r="B11" s="29"/>
      <c r="C11" s="12">
        <v>43741</v>
      </c>
      <c r="D11" s="13"/>
      <c r="E11" s="11">
        <f>C11/C10-1</f>
        <v>0.337072812862994</v>
      </c>
      <c r="F11" s="11">
        <f>('Cashflow '!C11+'Cashflow '!D11-'Cashflow '!E11-C11)/C11</f>
        <v>-1.11035412999246</v>
      </c>
      <c r="G11" s="11">
        <f>AVERAGE(F8:F11)</f>
        <v>-0.954507747447379</v>
      </c>
      <c r="H11" s="11"/>
    </row>
    <row r="12" ht="20.05" customHeight="1">
      <c r="B12" s="30">
        <v>2017</v>
      </c>
      <c r="C12" s="12">
        <v>35714</v>
      </c>
      <c r="D12" s="13"/>
      <c r="E12" s="11">
        <f>C12/C11-1</f>
        <v>-0.183512036761848</v>
      </c>
      <c r="F12" s="11">
        <f>('Cashflow '!C12+'Cashflow '!D12-'Cashflow '!E12-C12)/C12</f>
        <v>-0.733409867278938</v>
      </c>
      <c r="G12" s="11">
        <f>AVERAGE(F9:F12)</f>
        <v>-0.944789972575271</v>
      </c>
      <c r="H12" s="11"/>
    </row>
    <row r="13" ht="20.05" customHeight="1">
      <c r="B13" s="29"/>
      <c r="C13" s="12">
        <v>37955</v>
      </c>
      <c r="D13" s="13"/>
      <c r="E13" s="11">
        <f>C13/C12-1</f>
        <v>0.0627485019880159</v>
      </c>
      <c r="F13" s="11">
        <f>('Cashflow '!C13+'Cashflow '!D13-'Cashflow '!E13-C13)/C13</f>
        <v>-0.8912659728626</v>
      </c>
      <c r="G13" s="11">
        <f>AVERAGE(F10:F13)</f>
        <v>-0.933673430663964</v>
      </c>
      <c r="H13" s="11"/>
    </row>
    <row r="14" ht="20.05" customHeight="1">
      <c r="B14" s="29"/>
      <c r="C14" s="12">
        <v>43744</v>
      </c>
      <c r="D14" s="13"/>
      <c r="E14" s="11">
        <f>C14/C13-1</f>
        <v>0.152522724278751</v>
      </c>
      <c r="F14" s="11">
        <f>('Cashflow '!C14+'Cashflow '!D14-'Cashflow '!E14-C14)/C14</f>
        <v>-0.8919394659839061</v>
      </c>
      <c r="G14" s="11">
        <f>AVERAGE(F11:F14)</f>
        <v>-0.906742359029476</v>
      </c>
      <c r="H14" s="11"/>
    </row>
    <row r="15" ht="20.05" customHeight="1">
      <c r="B15" s="29"/>
      <c r="C15" s="12">
        <v>60453</v>
      </c>
      <c r="D15" s="13"/>
      <c r="E15" s="11">
        <f>C15/C14-1</f>
        <v>0.381972384784199</v>
      </c>
      <c r="F15" s="11">
        <f>('Cashflow '!C15+'Cashflow '!D15-'Cashflow '!E15-C15)/C15</f>
        <v>-0.988255338858287</v>
      </c>
      <c r="G15" s="11">
        <f>AVERAGE(F12:F15)</f>
        <v>-0.876217661245933</v>
      </c>
      <c r="H15" s="11"/>
    </row>
    <row r="16" ht="20.05" customHeight="1">
      <c r="B16" s="30">
        <v>2018</v>
      </c>
      <c r="C16" s="12">
        <v>51042</v>
      </c>
      <c r="D16" s="13"/>
      <c r="E16" s="11">
        <f>C16/C15-1</f>
        <v>-0.155674656344598</v>
      </c>
      <c r="F16" s="11">
        <f>('Cashflow '!C16+'Cashflow '!D16-'Cashflow '!E16-C16)/C16</f>
        <v>-0.710924336820657</v>
      </c>
      <c r="G16" s="11">
        <f>AVERAGE(F13:F16)</f>
        <v>-0.870596278631363</v>
      </c>
      <c r="H16" s="11"/>
    </row>
    <row r="17" ht="20.05" customHeight="1">
      <c r="B17" s="29"/>
      <c r="C17" s="12">
        <v>52886</v>
      </c>
      <c r="D17" s="13"/>
      <c r="E17" s="11">
        <f>C17/C16-1</f>
        <v>0.036127111006622</v>
      </c>
      <c r="F17" s="11">
        <f>('Cashflow '!C17+'Cashflow '!D17-'Cashflow '!E17-C17)/C17</f>
        <v>-0.852229323450441</v>
      </c>
      <c r="G17" s="11">
        <f>AVERAGE(F14:F17)</f>
        <v>-0.860837116278323</v>
      </c>
      <c r="H17" s="11"/>
    </row>
    <row r="18" ht="20.05" customHeight="1">
      <c r="B18" s="29"/>
      <c r="C18" s="12">
        <v>56576</v>
      </c>
      <c r="D18" s="13"/>
      <c r="E18" s="11">
        <f>C18/C17-1</f>
        <v>0.069772718677911</v>
      </c>
      <c r="F18" s="11">
        <f>('Cashflow '!C18+'Cashflow '!D18-'Cashflow '!E18-C18)/C18</f>
        <v>-0.868601527149321</v>
      </c>
      <c r="G18" s="11">
        <f>AVERAGE(F15:F18)</f>
        <v>-0.855002631569677</v>
      </c>
      <c r="H18" s="11"/>
    </row>
    <row r="19" ht="20.05" customHeight="1">
      <c r="B19" s="29"/>
      <c r="C19" s="12">
        <v>72383</v>
      </c>
      <c r="D19" s="13"/>
      <c r="E19" s="11">
        <f>C19/C18-1</f>
        <v>0.279394089366516</v>
      </c>
      <c r="F19" s="11">
        <f>('Cashflow '!C19+'Cashflow '!D19-'Cashflow '!E19-C19)/C19</f>
        <v>-0.987082602268488</v>
      </c>
      <c r="G19" s="11">
        <f>AVERAGE(F16:F19)</f>
        <v>-0.854709447422227</v>
      </c>
      <c r="H19" s="11"/>
    </row>
    <row r="20" ht="20.05" customHeight="1">
      <c r="B20" s="30">
        <v>2019</v>
      </c>
      <c r="C20" s="12">
        <v>59700</v>
      </c>
      <c r="D20" s="13"/>
      <c r="E20" s="11">
        <f>C20/C19-1</f>
        <v>-0.175220700993327</v>
      </c>
      <c r="F20" s="11">
        <f>('Cashflow '!C20+'Cashflow '!D20-'Cashflow '!E20-C20)/C20</f>
        <v>-0.7063316582914571</v>
      </c>
      <c r="G20" s="11">
        <f>AVERAGE(F17:F20)</f>
        <v>-0.853561277789927</v>
      </c>
      <c r="H20" s="11"/>
    </row>
    <row r="21" ht="20.05" customHeight="1">
      <c r="B21" s="29"/>
      <c r="C21" s="12">
        <v>63404</v>
      </c>
      <c r="D21" s="13"/>
      <c r="E21" s="11">
        <f>C21/C20-1</f>
        <v>0.0620435510887772</v>
      </c>
      <c r="F21" s="11">
        <f>('Cashflow '!C21+'Cashflow '!D21-'Cashflow '!E21-C21)/C21</f>
        <v>-0.834726515677244</v>
      </c>
      <c r="G21" s="11">
        <f>AVERAGE(F18:F21)</f>
        <v>-0.849185575846628</v>
      </c>
      <c r="H21" s="11"/>
    </row>
    <row r="22" ht="20.05" customHeight="1">
      <c r="B22" s="29"/>
      <c r="C22" s="12">
        <v>69981</v>
      </c>
      <c r="D22" s="13"/>
      <c r="E22" s="11">
        <f>C22/C21-1</f>
        <v>0.103731625764936</v>
      </c>
      <c r="F22" s="11">
        <f>('Cashflow '!C22+'Cashflow '!D22-'Cashflow '!E22-C22)/C22</f>
        <v>-0.841957102642146</v>
      </c>
      <c r="G22" s="11">
        <f>AVERAGE(F19:F22)</f>
        <v>-0.842524469719834</v>
      </c>
      <c r="H22" s="11"/>
    </row>
    <row r="23" ht="20.05" customHeight="1">
      <c r="B23" s="29"/>
      <c r="C23" s="12">
        <v>87437</v>
      </c>
      <c r="D23" s="13"/>
      <c r="E23" s="11">
        <f>C23/C22-1</f>
        <v>0.249439133479087</v>
      </c>
      <c r="F23" s="11">
        <f>('Cashflow '!C23+'Cashflow '!D23-'Cashflow '!E23-C23)/C23</f>
        <v>-0.96686757322415</v>
      </c>
      <c r="G23" s="11">
        <f>AVERAGE(F20:F23)</f>
        <v>-0.837470712458749</v>
      </c>
      <c r="H23" s="11"/>
    </row>
    <row r="24" ht="20.05" customHeight="1">
      <c r="B24" s="30">
        <v>2020</v>
      </c>
      <c r="C24" s="12">
        <v>75452</v>
      </c>
      <c r="D24" s="13">
        <v>68655</v>
      </c>
      <c r="E24" s="11">
        <f>C24/C23-1</f>
        <v>-0.13707011905715</v>
      </c>
      <c r="F24" s="11">
        <f>('Cashflow '!C24+'Cashflow '!D24-'Cashflow '!E24-C24)/C24</f>
        <v>-0.784710809521285</v>
      </c>
      <c r="G24" s="11">
        <f>AVERAGE(F21:F24)</f>
        <v>-0.857065500266206</v>
      </c>
      <c r="H24" s="11"/>
    </row>
    <row r="25" ht="20.05" customHeight="1">
      <c r="B25" s="29"/>
      <c r="C25" s="12">
        <v>88912</v>
      </c>
      <c r="D25" s="13">
        <v>76084.8</v>
      </c>
      <c r="E25" s="11">
        <f>C25/C24-1</f>
        <v>0.178391560197211</v>
      </c>
      <c r="F25" s="11">
        <f>('Cashflow '!C25+'Cashflow '!D25-'Cashflow '!E25-C25)/C25</f>
        <v>-0.926016735648731</v>
      </c>
      <c r="G25" s="11">
        <f>AVERAGE(F22:F25)</f>
        <v>-0.879888055259078</v>
      </c>
      <c r="H25" s="11"/>
    </row>
    <row r="26" ht="20.05" customHeight="1">
      <c r="B26" s="29"/>
      <c r="C26" s="12">
        <v>96145</v>
      </c>
      <c r="D26" s="13">
        <v>88875.87</v>
      </c>
      <c r="E26" s="11">
        <f>C26/C25-1</f>
        <v>0.0813500989742667</v>
      </c>
      <c r="F26" s="11">
        <f>('Cashflow '!C26+'Cashflow '!D26-'Cashflow '!E26-C26)/C26</f>
        <v>-0.823786988402933</v>
      </c>
      <c r="G26" s="11">
        <f>AVERAGE(F23:F26)</f>
        <v>-0.875345526699275</v>
      </c>
      <c r="H26" s="11"/>
    </row>
    <row r="27" ht="20.05" customHeight="1">
      <c r="B27" s="29"/>
      <c r="C27" s="16">
        <v>125555</v>
      </c>
      <c r="D27" s="13">
        <v>120181</v>
      </c>
      <c r="E27" s="11">
        <f>C27/C26-1</f>
        <v>0.305892142077071</v>
      </c>
      <c r="F27" s="11">
        <f>('Cashflow '!C27+'Cashflow '!D27-'Cashflow '!E27-C27)/C27</f>
        <v>-1.02011867309147</v>
      </c>
      <c r="G27" s="11">
        <f>AVERAGE(F24:F27)</f>
        <v>-0.888658301666105</v>
      </c>
      <c r="H27" s="11"/>
    </row>
    <row r="28" ht="20.05" customHeight="1">
      <c r="B28" s="30">
        <v>2021</v>
      </c>
      <c r="C28" s="16">
        <v>108518</v>
      </c>
      <c r="D28" s="13">
        <v>107977.3</v>
      </c>
      <c r="E28" s="11">
        <f>C28/C27-1</f>
        <v>-0.135693520767791</v>
      </c>
      <c r="F28" s="11">
        <f>('Cashflow '!C28+'Cashflow '!D28-'Cashflow '!E28-C28)/C28</f>
        <v>-0.7034316887520961</v>
      </c>
      <c r="G28" s="11">
        <f>AVERAGE(F25:F28)</f>
        <v>-0.868338521473808</v>
      </c>
      <c r="H28" s="11"/>
    </row>
    <row r="29" ht="20.05" customHeight="1">
      <c r="B29" s="29"/>
      <c r="C29" s="12">
        <v>113080</v>
      </c>
      <c r="D29" s="13">
        <v>113943.9</v>
      </c>
      <c r="E29" s="11">
        <f>C29/C28-1</f>
        <v>0.0420391087192908</v>
      </c>
      <c r="F29" s="11">
        <f>('Cashflow '!C29+'Cashflow '!D29-'Cashflow '!E29-C29)/C29</f>
        <v>-0.778731871241599</v>
      </c>
      <c r="G29" s="11">
        <f>AVERAGE(F26:F29)</f>
        <v>-0.831517305372025</v>
      </c>
      <c r="H29" s="11"/>
    </row>
    <row r="30" ht="20.05" customHeight="1">
      <c r="B30" s="29"/>
      <c r="C30" s="12">
        <v>110812</v>
      </c>
      <c r="D30" s="13">
        <v>122126.4</v>
      </c>
      <c r="E30" s="11">
        <f>C30/C29-1</f>
        <v>-0.0200565970993987</v>
      </c>
      <c r="F30" s="11">
        <f>('Cashflow '!C30+'Cashflow '!D30-'Cashflow '!E30-C30)/C30</f>
        <v>-0.767164206042667</v>
      </c>
      <c r="G30" s="11">
        <f>AVERAGE(F27:F30)</f>
        <v>-0.817361609781958</v>
      </c>
      <c r="H30" s="11"/>
    </row>
    <row r="31" ht="20.05" customHeight="1">
      <c r="B31" s="29"/>
      <c r="C31" s="12">
        <v>137412</v>
      </c>
      <c r="D31" s="13">
        <v>137406.88</v>
      </c>
      <c r="E31" s="11">
        <f>C31/C30-1</f>
        <v>0.240046204382197</v>
      </c>
      <c r="F31" s="11">
        <f>('Cashflow '!C31+'Cashflow '!D31-'Cashflow '!E31-C31)/C31</f>
        <v>-0.981486333071347</v>
      </c>
      <c r="G31" s="11">
        <f>AVERAGE(F28:F31)</f>
        <v>-0.807703524776927</v>
      </c>
      <c r="H31" s="11"/>
    </row>
    <row r="32" ht="20.05" customHeight="1">
      <c r="B32" s="30">
        <v>2022</v>
      </c>
      <c r="C32" s="12">
        <v>116444</v>
      </c>
      <c r="D32" s="13">
        <v>119548.44</v>
      </c>
      <c r="E32" s="11">
        <f>C32/C31-1</f>
        <v>-0.152592204465403</v>
      </c>
      <c r="F32" s="11">
        <f>('Cashflow '!C32+'Cashflow '!D32-'Cashflow '!E32-C32)/C32</f>
        <v>-0.713476005633609</v>
      </c>
      <c r="G32" s="11">
        <f>AVERAGE(F29:F32)</f>
        <v>-0.810214603997306</v>
      </c>
      <c r="H32" s="11">
        <f>G32</f>
        <v>-0.810214603997306</v>
      </c>
    </row>
    <row r="33" ht="20.05" customHeight="1">
      <c r="B33" s="29"/>
      <c r="C33" s="12"/>
      <c r="D33" s="13">
        <f>'Model'!C6</f>
        <v>121101.76</v>
      </c>
      <c r="E33" s="15"/>
      <c r="F33" s="11"/>
      <c r="G33" s="22"/>
      <c r="H33" s="11">
        <f>AVERAGE('Model'!C7:F7)</f>
        <v>-0.810214603997306</v>
      </c>
    </row>
    <row r="34" ht="20.05" customHeight="1">
      <c r="B34" s="29"/>
      <c r="C34" s="12"/>
      <c r="D34" s="13">
        <f>SUM('Model'!D6)</f>
        <v>125945.8304</v>
      </c>
      <c r="E34" s="15"/>
      <c r="F34" s="11"/>
      <c r="G34" s="11"/>
      <c r="H34" s="11"/>
    </row>
    <row r="35" ht="20.05" customHeight="1">
      <c r="B35" s="29"/>
      <c r="C35" s="12"/>
      <c r="D35" s="13">
        <f>'Model'!E6</f>
        <v>148616.079872</v>
      </c>
      <c r="E35" s="17">
        <f>SUM(C24:C32)</f>
        <v>972330</v>
      </c>
      <c r="F35" s="13">
        <f>SUM(D24:D32)</f>
        <v>954799.59</v>
      </c>
      <c r="G35" s="11"/>
      <c r="H35" s="11"/>
    </row>
    <row r="36" ht="20.05" customHeight="1">
      <c r="B36" s="30">
        <v>2023</v>
      </c>
      <c r="C36" s="12"/>
      <c r="D36" s="13">
        <f>'Model'!F6</f>
        <v>127809.82868992</v>
      </c>
      <c r="E36" s="15"/>
      <c r="F36" s="11"/>
      <c r="G36" s="11"/>
      <c r="H36" s="11"/>
    </row>
  </sheetData>
  <mergeCells count="1">
    <mergeCell ref="B2:H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B3:Q33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4.79688" style="31" customWidth="1"/>
    <col min="2" max="2" width="10.9922" style="31" customWidth="1"/>
    <col min="3" max="17" width="11.0312" style="31" customWidth="1"/>
    <col min="18" max="16384" width="16.3516" style="31" customWidth="1"/>
  </cols>
  <sheetData>
    <row r="1" ht="51.8" customHeight="1"/>
    <row r="2" ht="27.65" customHeight="1">
      <c r="B2" t="s" s="2">
        <v>3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ht="32.25" customHeight="1">
      <c r="B3" t="s" s="5">
        <v>1</v>
      </c>
      <c r="C3" t="s" s="5">
        <v>47</v>
      </c>
      <c r="D3" t="s" s="5">
        <v>48</v>
      </c>
      <c r="E3" t="s" s="5">
        <v>49</v>
      </c>
      <c r="F3" t="s" s="5">
        <v>8</v>
      </c>
      <c r="G3" t="s" s="5">
        <v>9</v>
      </c>
      <c r="H3" t="s" s="5">
        <v>10</v>
      </c>
      <c r="I3" t="s" s="5">
        <v>12</v>
      </c>
      <c r="J3" t="s" s="5">
        <v>27</v>
      </c>
      <c r="K3" t="s" s="5">
        <v>50</v>
      </c>
      <c r="L3" t="s" s="5">
        <v>51</v>
      </c>
      <c r="M3" t="s" s="5">
        <v>35</v>
      </c>
      <c r="N3" t="s" s="5">
        <v>37</v>
      </c>
      <c r="O3" t="s" s="5">
        <v>31</v>
      </c>
      <c r="P3" t="s" s="5">
        <v>37</v>
      </c>
      <c r="Q3" s="32"/>
    </row>
    <row r="4" ht="20.35" customHeight="1">
      <c r="B4" s="25">
        <v>2015</v>
      </c>
      <c r="C4" s="33">
        <v>-57</v>
      </c>
      <c r="D4" s="34">
        <v>1426</v>
      </c>
      <c r="E4" s="34">
        <f>F4-D4-C4</f>
        <v>-2868</v>
      </c>
      <c r="F4" s="34">
        <v>-1499</v>
      </c>
      <c r="G4" s="34">
        <v>-1847</v>
      </c>
      <c r="H4" s="34"/>
      <c r="I4" s="34"/>
      <c r="J4" s="34"/>
      <c r="K4" s="34">
        <v>-652</v>
      </c>
      <c r="L4" s="34">
        <f>F4+G4+H4-E4</f>
        <v>-478</v>
      </c>
      <c r="M4" s="34"/>
      <c r="N4" s="34"/>
      <c r="O4" s="34">
        <f>-(K4-H4)</f>
        <v>652</v>
      </c>
      <c r="P4" s="34"/>
      <c r="Q4" s="34">
        <v>1</v>
      </c>
    </row>
    <row r="5" ht="20.15" customHeight="1">
      <c r="B5" s="29"/>
      <c r="C5" s="16">
        <v>92</v>
      </c>
      <c r="D5" s="17">
        <v>1504</v>
      </c>
      <c r="E5" s="17">
        <f>F5-D5-C5</f>
        <v>401</v>
      </c>
      <c r="F5" s="17">
        <v>1997</v>
      </c>
      <c r="G5" s="17">
        <v>-1376</v>
      </c>
      <c r="H5" s="17"/>
      <c r="I5" s="17"/>
      <c r="J5" s="17"/>
      <c r="K5" s="17">
        <v>-692</v>
      </c>
      <c r="L5" s="17">
        <f>F5+G5+H5-E5</f>
        <v>220</v>
      </c>
      <c r="M5" s="17"/>
      <c r="N5" s="17"/>
      <c r="O5" s="17">
        <f>-(K5-H5)+O4</f>
        <v>1344</v>
      </c>
      <c r="P5" s="17"/>
      <c r="Q5" s="17">
        <f>1+Q4</f>
        <v>2</v>
      </c>
    </row>
    <row r="6" ht="20.15" customHeight="1">
      <c r="B6" s="29"/>
      <c r="C6" s="16">
        <v>79</v>
      </c>
      <c r="D6" s="17">
        <v>1599</v>
      </c>
      <c r="E6" s="17">
        <f>F6-D6-C6</f>
        <v>932</v>
      </c>
      <c r="F6" s="17">
        <v>2610</v>
      </c>
      <c r="G6" s="17">
        <v>-1377</v>
      </c>
      <c r="H6" s="17"/>
      <c r="I6" s="17"/>
      <c r="J6" s="17"/>
      <c r="K6" s="17">
        <v>-729</v>
      </c>
      <c r="L6" s="17">
        <f>F6+G6+H6-E6</f>
        <v>301</v>
      </c>
      <c r="M6" s="17"/>
      <c r="N6" s="17"/>
      <c r="O6" s="17">
        <f>-(K6-H6)+O5</f>
        <v>2073</v>
      </c>
      <c r="P6" s="17"/>
      <c r="Q6" s="17">
        <f>1+Q5</f>
        <v>3</v>
      </c>
    </row>
    <row r="7" ht="20.15" customHeight="1">
      <c r="B7" s="29"/>
      <c r="C7" s="16">
        <v>482</v>
      </c>
      <c r="D7" s="17">
        <v>1752</v>
      </c>
      <c r="E7" s="17">
        <f>F7-D7-C7</f>
        <v>6578</v>
      </c>
      <c r="F7" s="17">
        <v>8812</v>
      </c>
      <c r="G7" s="17">
        <v>-1850</v>
      </c>
      <c r="H7" s="17"/>
      <c r="I7" s="17"/>
      <c r="J7" s="17"/>
      <c r="K7" s="17">
        <v>-1690</v>
      </c>
      <c r="L7" s="17">
        <f>F7+G7+H7-E7</f>
        <v>384</v>
      </c>
      <c r="M7" s="17"/>
      <c r="N7" s="17"/>
      <c r="O7" s="17">
        <f>-(K7-H7)+O6</f>
        <v>3763</v>
      </c>
      <c r="P7" s="17"/>
      <c r="Q7" s="17">
        <f>1+Q6</f>
        <v>4</v>
      </c>
    </row>
    <row r="8" ht="20.15" customHeight="1">
      <c r="B8" s="30">
        <v>2016</v>
      </c>
      <c r="C8" s="16">
        <v>513</v>
      </c>
      <c r="D8" s="17">
        <v>1827</v>
      </c>
      <c r="E8" s="17">
        <f>F8-D8-C8</f>
        <v>-4293</v>
      </c>
      <c r="F8" s="17">
        <v>-1953</v>
      </c>
      <c r="G8" s="17">
        <v>-693</v>
      </c>
      <c r="H8" s="17"/>
      <c r="I8" s="17"/>
      <c r="J8" s="17"/>
      <c r="K8" s="17">
        <v>-996</v>
      </c>
      <c r="L8" s="17">
        <f>F8+G8+H8-E8</f>
        <v>1647</v>
      </c>
      <c r="M8" s="17">
        <f>AVERAGE(L5:L8)</f>
        <v>638</v>
      </c>
      <c r="N8" s="17"/>
      <c r="O8" s="17">
        <f>-(K8-H8)+O7</f>
        <v>4759</v>
      </c>
      <c r="P8" s="17"/>
      <c r="Q8" s="17">
        <f>1+Q7</f>
        <v>5</v>
      </c>
    </row>
    <row r="9" ht="20.15" customHeight="1">
      <c r="B9" s="29"/>
      <c r="C9" s="16">
        <v>857</v>
      </c>
      <c r="D9" s="17">
        <v>1909</v>
      </c>
      <c r="E9" s="17">
        <f>F9-D9-C9</f>
        <v>812</v>
      </c>
      <c r="F9" s="17">
        <v>3578</v>
      </c>
      <c r="G9" s="17">
        <v>-2439</v>
      </c>
      <c r="H9" s="17"/>
      <c r="I9" s="17"/>
      <c r="J9" s="17"/>
      <c r="K9" s="17">
        <v>-1152</v>
      </c>
      <c r="L9" s="17">
        <f>F9+G9+H9-E9</f>
        <v>327</v>
      </c>
      <c r="M9" s="17">
        <f>AVERAGE(L6:L9)</f>
        <v>664.75</v>
      </c>
      <c r="N9" s="17"/>
      <c r="O9" s="17">
        <f>-(K9-H9)+O8</f>
        <v>5911</v>
      </c>
      <c r="P9" s="17"/>
      <c r="Q9" s="17">
        <f>1+Q8</f>
        <v>6</v>
      </c>
    </row>
    <row r="10" ht="20.15" customHeight="1">
      <c r="B10" s="29"/>
      <c r="C10" s="16">
        <v>252</v>
      </c>
      <c r="D10" s="17">
        <v>2083</v>
      </c>
      <c r="E10" s="17">
        <f>F10-D10-C10</f>
        <v>2324</v>
      </c>
      <c r="F10" s="17">
        <v>4659</v>
      </c>
      <c r="G10" s="17">
        <v>-2570</v>
      </c>
      <c r="H10" s="17"/>
      <c r="I10" s="17"/>
      <c r="J10" s="17"/>
      <c r="K10" s="17">
        <v>-1000</v>
      </c>
      <c r="L10" s="17">
        <f>F10+G10+H10-E10</f>
        <v>-235</v>
      </c>
      <c r="M10" s="17">
        <f>AVERAGE(L7:L10)</f>
        <v>530.75</v>
      </c>
      <c r="N10" s="17"/>
      <c r="O10" s="17">
        <f>-(K10-H10)+O9</f>
        <v>6911</v>
      </c>
      <c r="P10" s="17"/>
      <c r="Q10" s="17">
        <f>1+Q9</f>
        <v>7</v>
      </c>
    </row>
    <row r="11" ht="20.15" customHeight="1">
      <c r="B11" s="29"/>
      <c r="C11" s="16">
        <v>749</v>
      </c>
      <c r="D11" s="17">
        <v>2297</v>
      </c>
      <c r="E11" s="17">
        <f>F11-D11-C11</f>
        <v>7873</v>
      </c>
      <c r="F11" s="17">
        <v>10919</v>
      </c>
      <c r="G11" s="17">
        <v>-3814</v>
      </c>
      <c r="H11" s="17"/>
      <c r="I11" s="17"/>
      <c r="J11" s="17"/>
      <c r="K11" s="17">
        <v>-568</v>
      </c>
      <c r="L11" s="17">
        <f>F11+G11+H11-E11</f>
        <v>-768</v>
      </c>
      <c r="M11" s="17">
        <f>AVERAGE(L8:L11)</f>
        <v>242.75</v>
      </c>
      <c r="N11" s="17"/>
      <c r="O11" s="17">
        <f>-(K11-H11)+O10</f>
        <v>7479</v>
      </c>
      <c r="P11" s="17"/>
      <c r="Q11" s="17">
        <f>1+Q10</f>
        <v>8</v>
      </c>
    </row>
    <row r="12" ht="20.15" customHeight="1">
      <c r="B12" s="30">
        <v>2017</v>
      </c>
      <c r="C12" s="16">
        <v>724</v>
      </c>
      <c r="D12" s="17">
        <v>3227</v>
      </c>
      <c r="E12" s="17">
        <f>F12-D12-C12</f>
        <v>-5570</v>
      </c>
      <c r="F12" s="17">
        <v>-1619</v>
      </c>
      <c r="G12" s="17">
        <v>-1350</v>
      </c>
      <c r="H12" s="17">
        <v>-832</v>
      </c>
      <c r="I12" s="17"/>
      <c r="J12" s="17"/>
      <c r="K12" s="17">
        <v>-888</v>
      </c>
      <c r="L12" s="17">
        <f>F12+G12+H12-E12</f>
        <v>1769</v>
      </c>
      <c r="M12" s="17">
        <f>AVERAGE(L9:L12)</f>
        <v>273.25</v>
      </c>
      <c r="N12" s="17"/>
      <c r="O12" s="17">
        <f>-(K12-H12)+O11</f>
        <v>7535</v>
      </c>
      <c r="P12" s="17"/>
      <c r="Q12" s="17">
        <f>1+Q11</f>
        <v>9</v>
      </c>
    </row>
    <row r="13" ht="20.15" customHeight="1">
      <c r="B13" s="29"/>
      <c r="C13" s="16">
        <v>197</v>
      </c>
      <c r="D13" s="17">
        <v>3791</v>
      </c>
      <c r="E13" s="17">
        <f>F13-D13-C13</f>
        <v>-139</v>
      </c>
      <c r="F13" s="17">
        <v>3849</v>
      </c>
      <c r="G13" s="17">
        <v>-5274</v>
      </c>
      <c r="H13" s="17">
        <v>-1228</v>
      </c>
      <c r="I13" s="17"/>
      <c r="J13" s="17"/>
      <c r="K13" s="17">
        <v>-1275</v>
      </c>
      <c r="L13" s="17">
        <f>F13+G13+H13-E13</f>
        <v>-2514</v>
      </c>
      <c r="M13" s="17">
        <f>AVERAGE(L10:L13)</f>
        <v>-437</v>
      </c>
      <c r="N13" s="17"/>
      <c r="O13" s="17">
        <f>-(K13-H13)+O12</f>
        <v>7582</v>
      </c>
      <c r="P13" s="17"/>
      <c r="Q13" s="17">
        <f>1+Q12</f>
        <v>10</v>
      </c>
    </row>
    <row r="14" ht="20.15" customHeight="1">
      <c r="B14" s="29"/>
      <c r="C14" s="16">
        <v>255</v>
      </c>
      <c r="D14" s="17">
        <v>3997</v>
      </c>
      <c r="E14" s="17">
        <f>F14-D14-C14</f>
        <v>-475</v>
      </c>
      <c r="F14" s="17">
        <v>3777</v>
      </c>
      <c r="G14" s="17">
        <v>-18479</v>
      </c>
      <c r="H14" s="17">
        <v>-1267</v>
      </c>
      <c r="I14" s="17"/>
      <c r="J14" s="17"/>
      <c r="K14" s="17">
        <v>14662</v>
      </c>
      <c r="L14" s="17">
        <f>F14+G14+H14-E14</f>
        <v>-15494</v>
      </c>
      <c r="M14" s="17">
        <f>AVERAGE(L11:L14)</f>
        <v>-4251.75</v>
      </c>
      <c r="N14" s="17"/>
      <c r="O14" s="17">
        <f>-(K14-H14)+O13</f>
        <v>-8347</v>
      </c>
      <c r="P14" s="17"/>
      <c r="Q14" s="17">
        <f>1+Q13</f>
        <v>11</v>
      </c>
    </row>
    <row r="15" ht="20.15" customHeight="1">
      <c r="B15" s="29"/>
      <c r="C15" s="16">
        <v>1857</v>
      </c>
      <c r="D15" s="17">
        <v>4677</v>
      </c>
      <c r="E15" s="17">
        <f>F15-D15-C15</f>
        <v>5824</v>
      </c>
      <c r="F15" s="17">
        <v>12358</v>
      </c>
      <c r="G15" s="17">
        <v>-1981</v>
      </c>
      <c r="H15" s="17">
        <v>-1472</v>
      </c>
      <c r="I15" s="17"/>
      <c r="J15" s="17"/>
      <c r="K15" s="17">
        <v>-2571</v>
      </c>
      <c r="L15" s="17">
        <f>F15+G15+H15-E15</f>
        <v>3081</v>
      </c>
      <c r="M15" s="17">
        <f>AVERAGE(L12:L15)</f>
        <v>-3289.5</v>
      </c>
      <c r="N15" s="17"/>
      <c r="O15" s="17">
        <f>-(K15-H15)+O14</f>
        <v>-7248</v>
      </c>
      <c r="P15" s="17"/>
      <c r="Q15" s="17">
        <f>1+Q14</f>
        <v>12</v>
      </c>
    </row>
    <row r="16" ht="20.15" customHeight="1">
      <c r="B16" s="30">
        <v>2018</v>
      </c>
      <c r="C16" s="16">
        <v>1629</v>
      </c>
      <c r="D16" s="17">
        <v>4853</v>
      </c>
      <c r="E16" s="17">
        <f>F16-D16-C16</f>
        <v>-8273</v>
      </c>
      <c r="F16" s="17">
        <v>-1791</v>
      </c>
      <c r="G16" s="17">
        <v>-533</v>
      </c>
      <c r="H16" s="17">
        <v>-2015</v>
      </c>
      <c r="I16" s="17"/>
      <c r="J16" s="17"/>
      <c r="K16" s="17">
        <v>-2164</v>
      </c>
      <c r="L16" s="17">
        <f>F16+G16+H16-E16</f>
        <v>3934</v>
      </c>
      <c r="M16" s="17">
        <f>AVERAGE(L13:L16)</f>
        <v>-2748.25</v>
      </c>
      <c r="N16" s="17"/>
      <c r="O16" s="17">
        <f>-(K16-H16)+O15</f>
        <v>-7099</v>
      </c>
      <c r="P16" s="17"/>
      <c r="Q16" s="17">
        <f>1+Q15</f>
        <v>13</v>
      </c>
    </row>
    <row r="17" ht="20.15" customHeight="1">
      <c r="B17" s="29"/>
      <c r="C17" s="16">
        <v>2534</v>
      </c>
      <c r="D17" s="17">
        <v>5098</v>
      </c>
      <c r="E17" s="17">
        <f>F17-D17-C17</f>
        <v>-183</v>
      </c>
      <c r="F17" s="17">
        <v>7449</v>
      </c>
      <c r="G17" s="17">
        <v>-2692</v>
      </c>
      <c r="H17" s="17">
        <v>-1284</v>
      </c>
      <c r="I17" s="17"/>
      <c r="J17" s="17"/>
      <c r="K17" s="17">
        <v>-1392</v>
      </c>
      <c r="L17" s="17">
        <f>F17+G17+H17-E17</f>
        <v>3656</v>
      </c>
      <c r="M17" s="17">
        <f>AVERAGE(L14:L17)</f>
        <v>-1205.75</v>
      </c>
      <c r="N17" s="17"/>
      <c r="O17" s="17">
        <f>-(K17-H17)+O16</f>
        <v>-6991</v>
      </c>
      <c r="P17" s="17"/>
      <c r="Q17" s="17">
        <f>1+Q16</f>
        <v>14</v>
      </c>
    </row>
    <row r="18" ht="20.15" customHeight="1">
      <c r="B18" s="29"/>
      <c r="C18" s="16">
        <v>2883</v>
      </c>
      <c r="D18" s="17">
        <v>5128</v>
      </c>
      <c r="E18" s="17">
        <f>F18-D18-C18</f>
        <v>577</v>
      </c>
      <c r="F18" s="17">
        <v>8588</v>
      </c>
      <c r="G18" s="17">
        <v>8797</v>
      </c>
      <c r="H18" s="17">
        <v>-2247</v>
      </c>
      <c r="I18" s="17"/>
      <c r="J18" s="17"/>
      <c r="K18" s="17">
        <v>5925</v>
      </c>
      <c r="L18" s="17">
        <f>F18+G18+H18-E18</f>
        <v>14561</v>
      </c>
      <c r="M18" s="17">
        <f>AVERAGE(L15:L18)</f>
        <v>6308</v>
      </c>
      <c r="N18" s="17"/>
      <c r="O18" s="17">
        <f>-(K18-H18)+O17</f>
        <v>-15163</v>
      </c>
      <c r="P18" s="17"/>
      <c r="Q18" s="17">
        <f>1+Q17</f>
        <v>15</v>
      </c>
    </row>
    <row r="19" ht="20.15" customHeight="1">
      <c r="B19" s="29"/>
      <c r="C19" s="16">
        <v>3027</v>
      </c>
      <c r="D19" s="17">
        <v>5679</v>
      </c>
      <c r="E19" s="17">
        <f>F19-D19-C19</f>
        <v>7771</v>
      </c>
      <c r="F19" s="17">
        <v>16477</v>
      </c>
      <c r="G19" s="17">
        <v>-17941</v>
      </c>
      <c r="H19" s="17">
        <v>-1906</v>
      </c>
      <c r="I19" s="17"/>
      <c r="J19" s="17"/>
      <c r="K19" s="17">
        <v>-10055</v>
      </c>
      <c r="L19" s="17">
        <f>F19+G19+H19-E19</f>
        <v>-11141</v>
      </c>
      <c r="M19" s="17">
        <f>AVERAGE(L16:L19)</f>
        <v>2752.5</v>
      </c>
      <c r="N19" s="17"/>
      <c r="O19" s="17">
        <f>-(K19-H19)+O18</f>
        <v>-7014</v>
      </c>
      <c r="P19" s="17"/>
      <c r="Q19" s="17">
        <f>1+Q18</f>
        <v>16</v>
      </c>
    </row>
    <row r="20" ht="20.15" customHeight="1">
      <c r="B20" s="30">
        <v>2019</v>
      </c>
      <c r="C20" s="16">
        <v>3561</v>
      </c>
      <c r="D20" s="17">
        <v>6128</v>
      </c>
      <c r="E20" s="17">
        <f>F20-D20-C20</f>
        <v>-7843</v>
      </c>
      <c r="F20" s="17">
        <v>1846</v>
      </c>
      <c r="G20" s="17">
        <v>-8123</v>
      </c>
      <c r="H20" s="17">
        <v>-2214</v>
      </c>
      <c r="I20" s="17"/>
      <c r="J20" s="17"/>
      <c r="K20" s="17">
        <v>-2377</v>
      </c>
      <c r="L20" s="17">
        <f>F20+G20+H20-E20</f>
        <v>-648</v>
      </c>
      <c r="M20" s="17">
        <f>AVERAGE(L17:L20)</f>
        <v>1607</v>
      </c>
      <c r="N20" s="17"/>
      <c r="O20" s="17">
        <f>-(K20-H20)+O19</f>
        <v>-6851</v>
      </c>
      <c r="P20" s="17"/>
      <c r="Q20" s="17">
        <f>1+Q19</f>
        <v>17</v>
      </c>
    </row>
    <row r="21" ht="20.15" customHeight="1">
      <c r="B21" s="29"/>
      <c r="C21" s="16">
        <v>2625</v>
      </c>
      <c r="D21" s="17">
        <v>7173</v>
      </c>
      <c r="E21" s="17">
        <f>F21-D21-C21</f>
        <v>-681</v>
      </c>
      <c r="F21" s="17">
        <v>9117</v>
      </c>
      <c r="G21" s="17">
        <v>-7549</v>
      </c>
      <c r="H21" s="17">
        <v>-2327</v>
      </c>
      <c r="I21" s="17"/>
      <c r="J21" s="17"/>
      <c r="K21" s="17">
        <v>-2158</v>
      </c>
      <c r="L21" s="17">
        <f>F21+G21+H21-E21</f>
        <v>-78</v>
      </c>
      <c r="M21" s="17">
        <f>AVERAGE(L18:L21)</f>
        <v>673.5</v>
      </c>
      <c r="N21" s="17"/>
      <c r="O21" s="17">
        <f>-(K21-H21)+O20</f>
        <v>-7020</v>
      </c>
      <c r="P21" s="17"/>
      <c r="Q21" s="17">
        <f>1+Q20</f>
        <v>18</v>
      </c>
    </row>
    <row r="22" ht="20.15" customHeight="1">
      <c r="B22" s="29"/>
      <c r="C22" s="16">
        <v>2134</v>
      </c>
      <c r="D22" s="17">
        <v>7342</v>
      </c>
      <c r="E22" s="17">
        <f>F22-D22-C22</f>
        <v>-1584</v>
      </c>
      <c r="F22" s="17">
        <v>7892</v>
      </c>
      <c r="G22" s="17">
        <v>20746</v>
      </c>
      <c r="H22" s="17">
        <v>-2307</v>
      </c>
      <c r="I22" s="17"/>
      <c r="J22" s="17"/>
      <c r="K22" s="17">
        <v>6495</v>
      </c>
      <c r="L22" s="17">
        <f>F22+G22+H22-E22</f>
        <v>27915</v>
      </c>
      <c r="M22" s="17">
        <f>AVERAGE(L19:L22)</f>
        <v>4012</v>
      </c>
      <c r="N22" s="17"/>
      <c r="O22" s="17">
        <f>-(K22-H22)+O21</f>
        <v>-15822</v>
      </c>
      <c r="P22" s="17"/>
      <c r="Q22" s="17">
        <f>1+Q21</f>
        <v>19</v>
      </c>
    </row>
    <row r="23" ht="20.15" customHeight="1">
      <c r="B23" s="29"/>
      <c r="C23" s="16">
        <v>3268</v>
      </c>
      <c r="D23" s="17">
        <v>8010</v>
      </c>
      <c r="E23" s="17">
        <f>F23-D23-C23</f>
        <v>8381</v>
      </c>
      <c r="F23" s="17">
        <v>19659</v>
      </c>
      <c r="G23" s="17">
        <v>-29355</v>
      </c>
      <c r="H23" s="17">
        <v>-2780</v>
      </c>
      <c r="I23" s="17"/>
      <c r="J23" s="17"/>
      <c r="K23" s="17">
        <v>-12026</v>
      </c>
      <c r="L23" s="17">
        <f>F23+G23+H23-E23</f>
        <v>-20857</v>
      </c>
      <c r="M23" s="17">
        <f>AVERAGE(L20:L23)</f>
        <v>1583</v>
      </c>
      <c r="N23" s="17"/>
      <c r="O23" s="17">
        <f>-(K23-H23)+O22</f>
        <v>-6576</v>
      </c>
      <c r="P23" s="17"/>
      <c r="Q23" s="17">
        <f>1+Q22</f>
        <v>20</v>
      </c>
    </row>
    <row r="24" ht="20.15" customHeight="1">
      <c r="B24" s="30">
        <v>2020</v>
      </c>
      <c r="C24" s="16">
        <v>2535</v>
      </c>
      <c r="D24" s="17">
        <v>7119</v>
      </c>
      <c r="E24" s="17">
        <f>F24-D24-C24</f>
        <v>-6590</v>
      </c>
      <c r="F24" s="17">
        <v>3064</v>
      </c>
      <c r="G24" s="17">
        <v>-8894</v>
      </c>
      <c r="H24" s="17">
        <v>-2600</v>
      </c>
      <c r="I24" s="17"/>
      <c r="J24" s="17"/>
      <c r="K24" s="17">
        <v>-2591</v>
      </c>
      <c r="L24" s="17">
        <f>F24+G24+H24-E24</f>
        <v>-1840</v>
      </c>
      <c r="M24" s="17">
        <f>AVERAGE(L21:L24)</f>
        <v>1285</v>
      </c>
      <c r="N24" s="17"/>
      <c r="O24" s="17">
        <f>-(K24-H24)+O23</f>
        <v>-6585</v>
      </c>
      <c r="P24" s="17"/>
      <c r="Q24" s="17">
        <f>1+Q23</f>
        <v>21</v>
      </c>
    </row>
    <row r="25" ht="20.15" customHeight="1">
      <c r="B25" s="29"/>
      <c r="C25" s="16">
        <v>5243</v>
      </c>
      <c r="D25" s="17">
        <v>8349</v>
      </c>
      <c r="E25" s="17">
        <f>F25-D25-C25</f>
        <v>7014</v>
      </c>
      <c r="F25" s="17">
        <v>20606</v>
      </c>
      <c r="G25" s="17">
        <v>-17804</v>
      </c>
      <c r="H25" s="17">
        <v>-2817</v>
      </c>
      <c r="I25" s="17"/>
      <c r="J25" s="17"/>
      <c r="K25" s="17">
        <v>7408</v>
      </c>
      <c r="L25" s="17">
        <f>F25+G25+H25-E25</f>
        <v>-7029</v>
      </c>
      <c r="M25" s="17">
        <f>AVERAGE(L22:L25)</f>
        <v>-452.75</v>
      </c>
      <c r="N25" s="17"/>
      <c r="O25" s="17">
        <f>-(K25-H25)+O24</f>
        <v>-16810</v>
      </c>
      <c r="P25" s="17"/>
      <c r="Q25" s="17">
        <f>1+Q24</f>
        <v>22</v>
      </c>
    </row>
    <row r="26" ht="20.15" customHeight="1">
      <c r="B26" s="29"/>
      <c r="C26" s="16">
        <v>6331</v>
      </c>
      <c r="D26" s="17">
        <v>8122</v>
      </c>
      <c r="E26" s="17">
        <f>F26-D26-C26</f>
        <v>-2489</v>
      </c>
      <c r="F26" s="17">
        <v>11964</v>
      </c>
      <c r="G26" s="17">
        <v>-15876</v>
      </c>
      <c r="H26" s="17">
        <v>-2857</v>
      </c>
      <c r="I26" s="17"/>
      <c r="J26" s="17"/>
      <c r="K26" s="17">
        <v>-4105</v>
      </c>
      <c r="L26" s="17">
        <f>F26+G26+H26-E26</f>
        <v>-4280</v>
      </c>
      <c r="M26" s="17">
        <f>AVERAGE(L23:L26)</f>
        <v>-8501.5</v>
      </c>
      <c r="N26" s="17"/>
      <c r="O26" s="17">
        <f>-(K26-H26)+O25</f>
        <v>-15562</v>
      </c>
      <c r="P26" s="17"/>
      <c r="Q26" s="17">
        <f>1+Q25</f>
        <v>23</v>
      </c>
    </row>
    <row r="27" ht="20.15" customHeight="1">
      <c r="B27" s="29"/>
      <c r="C27" s="16">
        <v>7222</v>
      </c>
      <c r="D27" s="17">
        <f>7618+2562-487-1327-1636</f>
        <v>6730</v>
      </c>
      <c r="E27" s="17">
        <f>F27-D27-C27</f>
        <v>16478</v>
      </c>
      <c r="F27" s="17">
        <v>30430</v>
      </c>
      <c r="G27" s="17">
        <v>-17038</v>
      </c>
      <c r="H27" s="17">
        <v>-2368</v>
      </c>
      <c r="I27" s="17"/>
      <c r="J27" s="17"/>
      <c r="K27" s="17">
        <v>-1816</v>
      </c>
      <c r="L27" s="17">
        <f>F27+G27+H27-E27</f>
        <v>-5454</v>
      </c>
      <c r="M27" s="17">
        <f>AVERAGE(L24:L27)</f>
        <v>-4650.75</v>
      </c>
      <c r="N27" s="17"/>
      <c r="O27" s="17">
        <f>-(K27-H27)+O26</f>
        <v>-16114</v>
      </c>
      <c r="P27" s="17"/>
      <c r="Q27" s="17">
        <f>1+Q26</f>
        <v>24</v>
      </c>
    </row>
    <row r="28" ht="20.15" customHeight="1">
      <c r="B28" s="30">
        <v>2021</v>
      </c>
      <c r="C28" s="16">
        <v>8107</v>
      </c>
      <c r="D28" s="17">
        <f>7508+2306+30-1456+1703</f>
        <v>10091</v>
      </c>
      <c r="E28" s="17">
        <f>F28-D28-C28</f>
        <v>-13985</v>
      </c>
      <c r="F28" s="17">
        <v>4213</v>
      </c>
      <c r="G28" s="17">
        <v>-8666</v>
      </c>
      <c r="H28" s="17">
        <v>-3406</v>
      </c>
      <c r="I28" s="17"/>
      <c r="J28" s="17"/>
      <c r="K28" s="17">
        <v>-3476</v>
      </c>
      <c r="L28" s="17">
        <f>F28+G28+H28-E28</f>
        <v>6126</v>
      </c>
      <c r="M28" s="17">
        <f>AVERAGE(L25:L28)</f>
        <v>-2659.25</v>
      </c>
      <c r="N28" s="17"/>
      <c r="O28" s="17">
        <f>-(K28-H28)+O27</f>
        <v>-16044</v>
      </c>
      <c r="P28" s="17"/>
      <c r="Q28" s="17">
        <f>1+Q27</f>
        <v>25</v>
      </c>
    </row>
    <row r="29" ht="20.15" customHeight="1">
      <c r="B29" s="29"/>
      <c r="C29" s="16">
        <v>7778</v>
      </c>
      <c r="D29" s="17">
        <v>11090</v>
      </c>
      <c r="E29" s="17">
        <f>F29-D29-C29</f>
        <v>-6153</v>
      </c>
      <c r="F29" s="17">
        <v>12715</v>
      </c>
      <c r="G29" s="17">
        <v>-22080</v>
      </c>
      <c r="H29" s="17">
        <v>-2804</v>
      </c>
      <c r="I29" s="17"/>
      <c r="J29" s="17"/>
      <c r="K29" s="17">
        <v>15643</v>
      </c>
      <c r="L29" s="17">
        <f>F29+G29+H29-E29</f>
        <v>-6016</v>
      </c>
      <c r="M29" s="17">
        <f>AVERAGE(L26:L29)</f>
        <v>-2406</v>
      </c>
      <c r="N29" s="17"/>
      <c r="O29" s="17">
        <f>-(K29-H29)+O28</f>
        <v>-34491</v>
      </c>
      <c r="P29" s="17"/>
      <c r="Q29" s="17">
        <f>1+Q28</f>
        <v>26</v>
      </c>
    </row>
    <row r="30" ht="20.15" customHeight="1">
      <c r="B30" s="29"/>
      <c r="C30" s="16">
        <v>3156</v>
      </c>
      <c r="D30" s="17">
        <v>13401</v>
      </c>
      <c r="E30" s="17">
        <f>F30-D30-C30</f>
        <v>-9244</v>
      </c>
      <c r="F30" s="17">
        <v>7313</v>
      </c>
      <c r="G30" s="17">
        <v>-14828</v>
      </c>
      <c r="H30" s="17">
        <v>-2693</v>
      </c>
      <c r="I30" s="17"/>
      <c r="J30" s="17"/>
      <c r="K30" s="17">
        <v>-2776</v>
      </c>
      <c r="L30" s="17">
        <f>F30+G30+H30-E30</f>
        <v>-964</v>
      </c>
      <c r="M30" s="17">
        <f>AVERAGE(L27:L30)</f>
        <v>-1577</v>
      </c>
      <c r="N30" s="17"/>
      <c r="O30" s="17">
        <f>-(K30-H30)+O29</f>
        <v>-34408</v>
      </c>
      <c r="P30" s="17"/>
      <c r="Q30" s="17">
        <f>1+Q29</f>
        <v>27</v>
      </c>
    </row>
    <row r="31" ht="20.15" customHeight="1">
      <c r="B31" s="29"/>
      <c r="C31" s="16">
        <v>14323</v>
      </c>
      <c r="D31" s="17">
        <v>-2008</v>
      </c>
      <c r="E31" s="17">
        <f>F31-D31-C31</f>
        <v>9771</v>
      </c>
      <c r="F31" s="17">
        <v>22086</v>
      </c>
      <c r="G31" s="17">
        <v>-12580</v>
      </c>
      <c r="H31" s="17">
        <v>-2260</v>
      </c>
      <c r="I31" s="17">
        <f>-3100-H31</f>
        <v>-840</v>
      </c>
      <c r="J31" s="17">
        <v>0</v>
      </c>
      <c r="K31" s="17">
        <v>-3100</v>
      </c>
      <c r="L31" s="17">
        <f>F31+G31+H31-E31</f>
        <v>-2525</v>
      </c>
      <c r="M31" s="17">
        <f>AVERAGE(L28:L31)</f>
        <v>-844.75</v>
      </c>
      <c r="N31" s="17"/>
      <c r="O31" s="17">
        <f>-(K31-H31)+O30</f>
        <v>-33568</v>
      </c>
      <c r="P31" s="17"/>
      <c r="Q31" s="17">
        <f>1+Q30</f>
        <v>28</v>
      </c>
    </row>
    <row r="32" ht="20.15" customHeight="1">
      <c r="B32" s="30">
        <v>2022</v>
      </c>
      <c r="C32" s="16">
        <v>-3844</v>
      </c>
      <c r="D32" s="17">
        <f>8978+3250+215+8689-2001</f>
        <v>19131</v>
      </c>
      <c r="E32" s="17">
        <f>F32-D32-C32</f>
        <v>-18077</v>
      </c>
      <c r="F32" s="17">
        <v>-2790</v>
      </c>
      <c r="G32" s="17">
        <v>906</v>
      </c>
      <c r="H32" s="17">
        <v>-2777</v>
      </c>
      <c r="I32" s="17">
        <f>13743-6231</f>
        <v>7512</v>
      </c>
      <c r="J32" s="17">
        <v>-2666</v>
      </c>
      <c r="K32" s="17">
        <v>1990</v>
      </c>
      <c r="L32" s="17">
        <f>F32+G32+H32-E32</f>
        <v>13416</v>
      </c>
      <c r="M32" s="17">
        <f>AVERAGE(L29:L32)</f>
        <v>977.75</v>
      </c>
      <c r="N32" s="17">
        <f>M32</f>
        <v>977.75</v>
      </c>
      <c r="O32" s="17">
        <f>-(K32-H32)+O31</f>
        <v>-38335</v>
      </c>
      <c r="P32" s="17">
        <f>O32</f>
        <v>-38335</v>
      </c>
      <c r="Q32" s="17">
        <f>1+Q31</f>
        <v>29</v>
      </c>
    </row>
    <row r="33" ht="20.15" customHeight="1">
      <c r="B33" s="29"/>
      <c r="C33" s="16"/>
      <c r="D33" s="17"/>
      <c r="E33" s="17"/>
      <c r="F33" s="17"/>
      <c r="G33" s="17"/>
      <c r="H33" s="17"/>
      <c r="I33" s="17"/>
      <c r="J33" s="17"/>
      <c r="K33" s="17"/>
      <c r="L33" s="17"/>
      <c r="M33" s="22"/>
      <c r="N33" s="17">
        <f>SUM('Model'!C9:F11)/4</f>
        <v>13393.9063243511</v>
      </c>
      <c r="O33" s="22"/>
      <c r="P33" s="17">
        <f>'Model'!F34</f>
        <v>15240.6252974042</v>
      </c>
      <c r="Q33" s="17"/>
    </row>
  </sheetData>
  <mergeCells count="1">
    <mergeCell ref="B2:Q2"/>
  </mergeCells>
  <pageMargins left="0.5" right="0.5" top="0.75" bottom="0.75" header="0.277778" footer="0.277778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dimension ref="B3:K33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18.1562" style="35" customWidth="1"/>
    <col min="2" max="2" width="7.53906" style="35" customWidth="1"/>
    <col min="3" max="11" width="9.98438" style="35" customWidth="1"/>
    <col min="12" max="16384" width="16.3516" style="35" customWidth="1"/>
  </cols>
  <sheetData>
    <row r="1" ht="35.7" customHeight="1"/>
    <row r="2" ht="27.65" customHeight="1">
      <c r="B2" t="s" s="2">
        <v>23</v>
      </c>
      <c r="C2" s="2"/>
      <c r="D2" s="2"/>
      <c r="E2" s="2"/>
      <c r="F2" s="2"/>
      <c r="G2" s="2"/>
      <c r="H2" s="2"/>
      <c r="I2" s="2"/>
      <c r="J2" s="2"/>
      <c r="K2" s="2"/>
    </row>
    <row r="3" ht="32.25" customHeight="1">
      <c r="B3" t="s" s="5">
        <v>1</v>
      </c>
      <c r="C3" t="s" s="5">
        <v>52</v>
      </c>
      <c r="D3" t="s" s="5">
        <v>53</v>
      </c>
      <c r="E3" t="s" s="5">
        <v>54</v>
      </c>
      <c r="F3" t="s" s="5">
        <v>25</v>
      </c>
      <c r="G3" t="s" s="5">
        <v>12</v>
      </c>
      <c r="H3" t="s" s="5">
        <v>27</v>
      </c>
      <c r="I3" t="s" s="5">
        <v>28</v>
      </c>
      <c r="J3" t="s" s="5">
        <v>29</v>
      </c>
      <c r="K3" t="s" s="5">
        <v>37</v>
      </c>
    </row>
    <row r="4" ht="20.25" customHeight="1">
      <c r="B4" s="25">
        <v>2015</v>
      </c>
      <c r="C4" s="33">
        <v>10237</v>
      </c>
      <c r="D4" s="34">
        <v>50075</v>
      </c>
      <c r="E4" s="34">
        <f>D4-C4</f>
        <v>39838</v>
      </c>
      <c r="F4" s="34">
        <f>'Cashflow '!D4</f>
        <v>1426</v>
      </c>
      <c r="G4" s="34">
        <v>39202</v>
      </c>
      <c r="H4" s="34">
        <v>10873</v>
      </c>
      <c r="I4" s="34">
        <f>G4+H4-C4-E4</f>
        <v>0</v>
      </c>
      <c r="J4" s="34">
        <f>C4-G4</f>
        <v>-28965</v>
      </c>
      <c r="K4" s="34"/>
    </row>
    <row r="5" ht="20.05" customHeight="1">
      <c r="B5" s="29"/>
      <c r="C5" s="16">
        <v>10269</v>
      </c>
      <c r="D5" s="17">
        <v>52440</v>
      </c>
      <c r="E5" s="17">
        <f>D5-C5</f>
        <v>42171</v>
      </c>
      <c r="F5" s="17">
        <f>F4+'Cashflow '!D5</f>
        <v>2930</v>
      </c>
      <c r="G5" s="17">
        <v>40672</v>
      </c>
      <c r="H5" s="17">
        <v>11768</v>
      </c>
      <c r="I5" s="17">
        <f>G5+H5-C5-E5</f>
        <v>0</v>
      </c>
      <c r="J5" s="17">
        <f>C5-G5</f>
        <v>-30403</v>
      </c>
      <c r="K5" s="17"/>
    </row>
    <row r="6" ht="20.05" customHeight="1">
      <c r="B6" s="29"/>
      <c r="C6" s="16">
        <v>10709</v>
      </c>
      <c r="D6" s="17">
        <v>56230</v>
      </c>
      <c r="E6" s="17">
        <f>D6-C6</f>
        <v>45521</v>
      </c>
      <c r="F6" s="17">
        <f>F5+'Cashflow '!D6</f>
        <v>4529</v>
      </c>
      <c r="G6" s="17">
        <v>43800</v>
      </c>
      <c r="H6" s="17">
        <v>12430</v>
      </c>
      <c r="I6" s="17">
        <f>G6+H6-C6-E6</f>
        <v>0</v>
      </c>
      <c r="J6" s="17">
        <f>C6-G6</f>
        <v>-33091</v>
      </c>
      <c r="K6" s="17"/>
    </row>
    <row r="7" ht="20.05" customHeight="1">
      <c r="B7" s="29"/>
      <c r="C7" s="16">
        <v>15890</v>
      </c>
      <c r="D7" s="17">
        <v>64747</v>
      </c>
      <c r="E7" s="17">
        <f>D7-C7</f>
        <v>48857</v>
      </c>
      <c r="F7" s="17">
        <f>F6+'Cashflow '!D7</f>
        <v>6281</v>
      </c>
      <c r="G7" s="17">
        <v>51363</v>
      </c>
      <c r="H7" s="17">
        <v>13384</v>
      </c>
      <c r="I7" s="17">
        <f>G7+H7-C7-E7</f>
        <v>0</v>
      </c>
      <c r="J7" s="17">
        <f>C7-G7</f>
        <v>-35473</v>
      </c>
      <c r="K7" s="17"/>
    </row>
    <row r="8" ht="20.05" customHeight="1">
      <c r="B8" s="30">
        <v>2016</v>
      </c>
      <c r="C8" s="16">
        <v>12470</v>
      </c>
      <c r="D8" s="17">
        <v>61128</v>
      </c>
      <c r="E8" s="17">
        <f>D8-C8</f>
        <v>48658</v>
      </c>
      <c r="F8" s="17">
        <f>F7+'Cashflow '!D8</f>
        <v>8108</v>
      </c>
      <c r="G8" s="17">
        <v>46372</v>
      </c>
      <c r="H8" s="17">
        <v>14756</v>
      </c>
      <c r="I8" s="17">
        <f>G8+H8-C8-E8</f>
        <v>0</v>
      </c>
      <c r="J8" s="17">
        <f>C8-G8</f>
        <v>-33902</v>
      </c>
      <c r="K8" s="17"/>
    </row>
    <row r="9" ht="20.05" customHeight="1">
      <c r="B9" s="29"/>
      <c r="C9" s="16">
        <v>12521</v>
      </c>
      <c r="D9" s="17">
        <v>65076</v>
      </c>
      <c r="E9" s="17">
        <f>D9-C9</f>
        <v>52555</v>
      </c>
      <c r="F9" s="17">
        <f>F8+'Cashflow '!D9</f>
        <v>10017</v>
      </c>
      <c r="G9" s="17">
        <v>48538</v>
      </c>
      <c r="H9" s="17">
        <v>16538</v>
      </c>
      <c r="I9" s="17">
        <f>G9+H9-C9-E9</f>
        <v>0</v>
      </c>
      <c r="J9" s="17">
        <f>C9-G9</f>
        <v>-36017</v>
      </c>
      <c r="K9" s="17"/>
    </row>
    <row r="10" ht="20.05" customHeight="1">
      <c r="B10" s="29"/>
      <c r="C10" s="16">
        <v>13656</v>
      </c>
      <c r="D10" s="17">
        <v>70897</v>
      </c>
      <c r="E10" s="17">
        <f>D10-C10</f>
        <v>57241</v>
      </c>
      <c r="F10" s="17">
        <f>F9+'Cashflow '!D10</f>
        <v>12100</v>
      </c>
      <c r="G10" s="17">
        <v>53115</v>
      </c>
      <c r="H10" s="17">
        <v>17782</v>
      </c>
      <c r="I10" s="17">
        <f>G10+H10-C10-E10</f>
        <v>0</v>
      </c>
      <c r="J10" s="17">
        <f>C10-G10</f>
        <v>-39459</v>
      </c>
      <c r="K10" s="17"/>
    </row>
    <row r="11" ht="20.05" customHeight="1">
      <c r="B11" s="29"/>
      <c r="C11" s="16">
        <v>19334</v>
      </c>
      <c r="D11" s="17">
        <v>83402</v>
      </c>
      <c r="E11" s="17">
        <f>D11-C11</f>
        <v>64068</v>
      </c>
      <c r="F11" s="17">
        <f>F10+'Cashflow '!D11</f>
        <v>14397</v>
      </c>
      <c r="G11" s="17">
        <v>64117</v>
      </c>
      <c r="H11" s="17">
        <v>19285</v>
      </c>
      <c r="I11" s="17">
        <f>G11+H11-C11-E11</f>
        <v>0</v>
      </c>
      <c r="J11" s="17">
        <f>C11-G11</f>
        <v>-44783</v>
      </c>
      <c r="K11" s="17"/>
    </row>
    <row r="12" ht="20.05" customHeight="1">
      <c r="B12" s="30">
        <v>2017</v>
      </c>
      <c r="C12" s="16">
        <v>15440</v>
      </c>
      <c r="D12" s="17">
        <v>80969</v>
      </c>
      <c r="E12" s="17">
        <f>D12-C12</f>
        <v>65529</v>
      </c>
      <c r="F12" s="17">
        <f>F11+'Cashflow '!D12</f>
        <v>17624</v>
      </c>
      <c r="G12" s="17">
        <v>59295</v>
      </c>
      <c r="H12" s="17">
        <v>21674</v>
      </c>
      <c r="I12" s="17">
        <f>G12+H12-C12-E12</f>
        <v>0</v>
      </c>
      <c r="J12" s="17">
        <f>C12-G12</f>
        <v>-43855</v>
      </c>
      <c r="K12" s="17"/>
    </row>
    <row r="13" ht="20.05" customHeight="1">
      <c r="B13" s="29"/>
      <c r="C13" s="16">
        <v>13203</v>
      </c>
      <c r="D13" s="17">
        <v>87781</v>
      </c>
      <c r="E13" s="17">
        <f>D13-C13</f>
        <v>74578</v>
      </c>
      <c r="F13" s="17">
        <f>F12+'Cashflow '!D13</f>
        <v>21415</v>
      </c>
      <c r="G13" s="17">
        <v>64567</v>
      </c>
      <c r="H13" s="17">
        <v>23214</v>
      </c>
      <c r="I13" s="17">
        <f>G13+H13-C13-E13</f>
        <v>0</v>
      </c>
      <c r="J13" s="17">
        <f>C13-G13</f>
        <v>-51364</v>
      </c>
      <c r="K13" s="17"/>
    </row>
    <row r="14" ht="20.05" customHeight="1">
      <c r="B14" s="29"/>
      <c r="C14" s="16">
        <v>12767</v>
      </c>
      <c r="D14" s="17">
        <v>115267</v>
      </c>
      <c r="E14" s="17">
        <f>D14-C14</f>
        <v>102500</v>
      </c>
      <c r="F14" s="17">
        <f>F13+'Cashflow '!D14</f>
        <v>25412</v>
      </c>
      <c r="G14" s="17">
        <v>90609</v>
      </c>
      <c r="H14" s="17">
        <v>24658</v>
      </c>
      <c r="I14" s="17">
        <f>G14+H14-C14-E14</f>
        <v>0</v>
      </c>
      <c r="J14" s="17">
        <f>C14-G14</f>
        <v>-77842</v>
      </c>
      <c r="K14" s="17"/>
    </row>
    <row r="15" ht="20.05" customHeight="1">
      <c r="B15" s="29"/>
      <c r="C15" s="16">
        <v>20522</v>
      </c>
      <c r="D15" s="17">
        <v>131310</v>
      </c>
      <c r="E15" s="17">
        <f>D15-C15</f>
        <v>110788</v>
      </c>
      <c r="F15" s="17">
        <f>F14+'Cashflow '!D15</f>
        <v>30089</v>
      </c>
      <c r="G15" s="17">
        <v>103601</v>
      </c>
      <c r="H15" s="17">
        <v>27709</v>
      </c>
      <c r="I15" s="17">
        <f>G15+H15-C15-E15</f>
        <v>0</v>
      </c>
      <c r="J15" s="17">
        <f>C15-G15</f>
        <v>-83079</v>
      </c>
      <c r="K15" s="17"/>
    </row>
    <row r="16" ht="20.05" customHeight="1">
      <c r="B16" s="30">
        <v>2018</v>
      </c>
      <c r="C16" s="16">
        <v>16676</v>
      </c>
      <c r="D16" s="17">
        <v>126362</v>
      </c>
      <c r="E16" s="17">
        <f>D16-C16</f>
        <v>109686</v>
      </c>
      <c r="F16" s="17">
        <f>F15+'Cashflow '!D16</f>
        <v>34942</v>
      </c>
      <c r="G16" s="17">
        <v>94899</v>
      </c>
      <c r="H16" s="17">
        <v>31463</v>
      </c>
      <c r="I16" s="17">
        <f>G16+H16-C16-E16</f>
        <v>0</v>
      </c>
      <c r="J16" s="17">
        <f>C16-G16</f>
        <v>-78223</v>
      </c>
      <c r="K16" s="17"/>
    </row>
    <row r="17" ht="20.05" customHeight="1">
      <c r="B17" s="29"/>
      <c r="C17" s="16">
        <v>19823</v>
      </c>
      <c r="D17" s="17">
        <v>134100</v>
      </c>
      <c r="E17" s="17">
        <f>D17-C17</f>
        <v>114277</v>
      </c>
      <c r="F17" s="17">
        <f>F16+'Cashflow '!D17</f>
        <v>40040</v>
      </c>
      <c r="G17" s="17">
        <v>99105</v>
      </c>
      <c r="H17" s="17">
        <v>34995</v>
      </c>
      <c r="I17" s="17">
        <f>G17+H17-C17-E17</f>
        <v>0</v>
      </c>
      <c r="J17" s="17">
        <f>C17-G17</f>
        <v>-79282</v>
      </c>
      <c r="K17" s="17"/>
    </row>
    <row r="18" ht="20.05" customHeight="1">
      <c r="B18" s="29"/>
      <c r="C18" s="16">
        <v>20425</v>
      </c>
      <c r="D18" s="17">
        <v>143695</v>
      </c>
      <c r="E18" s="17">
        <f>D18-C18</f>
        <v>123270</v>
      </c>
      <c r="F18" s="17">
        <f>F17+'Cashflow '!D18</f>
        <v>45168</v>
      </c>
      <c r="G18" s="17">
        <v>104570</v>
      </c>
      <c r="H18" s="17">
        <v>39125</v>
      </c>
      <c r="I18" s="17">
        <f>G18+H18-C18-E18</f>
        <v>0</v>
      </c>
      <c r="J18" s="17">
        <f>C18-G18</f>
        <v>-84145</v>
      </c>
      <c r="K18" s="17"/>
    </row>
    <row r="19" ht="20.05" customHeight="1">
      <c r="B19" s="29"/>
      <c r="C19" s="16">
        <v>31750</v>
      </c>
      <c r="D19" s="17">
        <v>162648</v>
      </c>
      <c r="E19" s="17">
        <f>D19-C19</f>
        <v>130898</v>
      </c>
      <c r="F19" s="17">
        <f>F18+'Cashflow '!D19</f>
        <v>50847</v>
      </c>
      <c r="G19" s="17">
        <v>119099</v>
      </c>
      <c r="H19" s="17">
        <v>43549</v>
      </c>
      <c r="I19" s="17">
        <f>G19+H19-C19-E19</f>
        <v>0</v>
      </c>
      <c r="J19" s="17">
        <f>C19-G19</f>
        <v>-87349</v>
      </c>
      <c r="K19" s="17"/>
    </row>
    <row r="20" ht="20.05" customHeight="1">
      <c r="B20" s="30">
        <v>2019</v>
      </c>
      <c r="C20" s="16">
        <v>23115</v>
      </c>
      <c r="D20" s="17">
        <v>178102</v>
      </c>
      <c r="E20" s="17">
        <f>D20-C20</f>
        <v>154987</v>
      </c>
      <c r="F20" s="17">
        <f>F19+'Cashflow '!D20</f>
        <v>56975</v>
      </c>
      <c r="G20" s="17">
        <v>129692</v>
      </c>
      <c r="H20" s="17">
        <v>48410</v>
      </c>
      <c r="I20" s="17">
        <f>G20+H20-C20-E20</f>
        <v>0</v>
      </c>
      <c r="J20" s="17">
        <f>C20-G20</f>
        <v>-106577</v>
      </c>
      <c r="K20" s="17"/>
    </row>
    <row r="21" ht="20.05" customHeight="1">
      <c r="B21" s="29"/>
      <c r="C21" s="16">
        <v>22616</v>
      </c>
      <c r="D21" s="17">
        <v>191351</v>
      </c>
      <c r="E21" s="17">
        <f>D21-C21</f>
        <v>168735</v>
      </c>
      <c r="F21" s="17">
        <f>F20+'Cashflow '!D21</f>
        <v>64148</v>
      </c>
      <c r="G21" s="17">
        <v>138290</v>
      </c>
      <c r="H21" s="17">
        <v>53061</v>
      </c>
      <c r="I21" s="17">
        <f>G21+H21-C21-E21</f>
        <v>0</v>
      </c>
      <c r="J21" s="17">
        <f>C21-G21</f>
        <v>-115674</v>
      </c>
      <c r="K21" s="17"/>
    </row>
    <row r="22" ht="20.05" customHeight="1">
      <c r="B22" s="29"/>
      <c r="C22" s="16">
        <v>23255</v>
      </c>
      <c r="D22" s="17">
        <v>199099</v>
      </c>
      <c r="E22" s="17">
        <f>D22-C22</f>
        <v>175844</v>
      </c>
      <c r="F22" s="17">
        <f>F21+'Cashflow '!D22</f>
        <v>71490</v>
      </c>
      <c r="G22" s="17">
        <v>142591</v>
      </c>
      <c r="H22" s="17">
        <v>56508</v>
      </c>
      <c r="I22" s="17">
        <f>G22+H22-C22-E22</f>
        <v>0</v>
      </c>
      <c r="J22" s="17">
        <f>C22-G22</f>
        <v>-119336</v>
      </c>
      <c r="K22" s="17"/>
    </row>
    <row r="23" ht="20.05" customHeight="1">
      <c r="B23" s="29"/>
      <c r="C23" s="16">
        <v>36092</v>
      </c>
      <c r="D23" s="17">
        <v>225248</v>
      </c>
      <c r="E23" s="17">
        <f>D23-C23</f>
        <v>189156</v>
      </c>
      <c r="F23" s="17">
        <f>F22+'Cashflow '!D23</f>
        <v>79500</v>
      </c>
      <c r="G23" s="17">
        <v>163188</v>
      </c>
      <c r="H23" s="17">
        <v>62060</v>
      </c>
      <c r="I23" s="17">
        <f>G23+H23-C23-E23</f>
        <v>0</v>
      </c>
      <c r="J23" s="17">
        <f>C23-G23</f>
        <v>-127096</v>
      </c>
      <c r="K23" s="17"/>
    </row>
    <row r="24" ht="20.05" customHeight="1">
      <c r="B24" s="30">
        <v>2020</v>
      </c>
      <c r="C24" s="16">
        <v>27201</v>
      </c>
      <c r="D24" s="17">
        <v>221238</v>
      </c>
      <c r="E24" s="17">
        <f>D24-C24</f>
        <v>194037</v>
      </c>
      <c r="F24" s="17">
        <f>F23+'Cashflow '!D24</f>
        <v>86619</v>
      </c>
      <c r="G24" s="17">
        <v>155966</v>
      </c>
      <c r="H24" s="17">
        <v>65272</v>
      </c>
      <c r="I24" s="17">
        <f>G24+H24-C24-E24</f>
        <v>0</v>
      </c>
      <c r="J24" s="17">
        <f>C24-G24</f>
        <v>-128765</v>
      </c>
      <c r="K24" s="17"/>
    </row>
    <row r="25" ht="20.05" customHeight="1">
      <c r="B25" s="29"/>
      <c r="C25" s="16">
        <v>37466</v>
      </c>
      <c r="D25" s="17">
        <v>258314</v>
      </c>
      <c r="E25" s="17">
        <f>D25-C25</f>
        <v>220848</v>
      </c>
      <c r="F25" s="17">
        <f>F24+'Cashflow '!D25</f>
        <v>94968</v>
      </c>
      <c r="G25" s="17">
        <v>184586</v>
      </c>
      <c r="H25" s="17">
        <v>73728</v>
      </c>
      <c r="I25" s="17">
        <f>G25+H25-C25-E25</f>
        <v>0</v>
      </c>
      <c r="J25" s="17">
        <f>C25-G25</f>
        <v>-147120</v>
      </c>
      <c r="K25" s="17"/>
    </row>
    <row r="26" ht="20.05" customHeight="1">
      <c r="B26" s="29"/>
      <c r="C26" s="16">
        <v>36092</v>
      </c>
      <c r="D26" s="17">
        <v>225248</v>
      </c>
      <c r="E26" s="17">
        <f>D26-C26</f>
        <v>189156</v>
      </c>
      <c r="F26" s="17">
        <f>F25+'Cashflow '!D26</f>
        <v>103090</v>
      </c>
      <c r="G26" s="17">
        <v>163189</v>
      </c>
      <c r="H26" s="17">
        <v>62060</v>
      </c>
      <c r="I26" s="17">
        <f>G26+H26-C26-E26</f>
        <v>1</v>
      </c>
      <c r="J26" s="17">
        <f>C26-G26</f>
        <v>-127097</v>
      </c>
      <c r="K26" s="17"/>
    </row>
    <row r="27" ht="20.05" customHeight="1">
      <c r="B27" s="29"/>
      <c r="C27" s="16">
        <v>42122</v>
      </c>
      <c r="D27" s="17">
        <v>321195</v>
      </c>
      <c r="E27" s="17">
        <f>D27-C27</f>
        <v>279073</v>
      </c>
      <c r="F27" s="17">
        <f>F26+'Cashflow '!D27</f>
        <v>109820</v>
      </c>
      <c r="G27" s="17">
        <v>227791</v>
      </c>
      <c r="H27" s="17">
        <v>93404</v>
      </c>
      <c r="I27" s="17">
        <f>G27+H27-C27-E27</f>
        <v>0</v>
      </c>
      <c r="J27" s="17">
        <f>C27-G27</f>
        <v>-185669</v>
      </c>
      <c r="K27" s="21"/>
    </row>
    <row r="28" ht="20.05" customHeight="1">
      <c r="B28" s="30">
        <v>2021</v>
      </c>
      <c r="C28" s="16">
        <v>33834</v>
      </c>
      <c r="D28" s="17">
        <v>323077</v>
      </c>
      <c r="E28" s="17">
        <f>D28-C28</f>
        <v>289243</v>
      </c>
      <c r="F28" s="17">
        <f>F27+'Cashflow '!D28</f>
        <v>119911</v>
      </c>
      <c r="G28" s="17">
        <f>323077-103320</f>
        <v>219757</v>
      </c>
      <c r="H28" s="17">
        <v>103320</v>
      </c>
      <c r="I28" s="17">
        <f>G28+H28-C28-E28</f>
        <v>0</v>
      </c>
      <c r="J28" s="17">
        <f>C28-G28</f>
        <v>-185923</v>
      </c>
      <c r="K28" s="17"/>
    </row>
    <row r="29" ht="20.05" customHeight="1">
      <c r="B29" s="29"/>
      <c r="C29" s="16">
        <v>40380</v>
      </c>
      <c r="D29" s="17">
        <v>360319</v>
      </c>
      <c r="E29" s="17">
        <f>D29-C29</f>
        <v>319939</v>
      </c>
      <c r="F29" s="17">
        <f>F28+'Cashflow '!D29</f>
        <v>131001</v>
      </c>
      <c r="G29" s="17">
        <v>245516</v>
      </c>
      <c r="H29" s="17">
        <v>114803</v>
      </c>
      <c r="I29" s="17">
        <f>G29+H29-C29-E29</f>
        <v>0</v>
      </c>
      <c r="J29" s="17">
        <f>C29-G29</f>
        <v>-205136</v>
      </c>
      <c r="K29" s="17"/>
    </row>
    <row r="30" ht="20.05" customHeight="1">
      <c r="B30" s="29"/>
      <c r="C30" s="16">
        <v>29944</v>
      </c>
      <c r="D30" s="17">
        <v>382406</v>
      </c>
      <c r="E30" s="17">
        <f>D30-C30</f>
        <v>352462</v>
      </c>
      <c r="F30" s="17">
        <f>F29+'Cashflow '!D30</f>
        <v>144402</v>
      </c>
      <c r="G30" s="17">
        <f>D30-H30</f>
        <v>261842</v>
      </c>
      <c r="H30" s="17">
        <v>120564</v>
      </c>
      <c r="I30" s="17">
        <f>G30+H30-C30-E30</f>
        <v>0</v>
      </c>
      <c r="J30" s="17">
        <f>C30-G30</f>
        <v>-231898</v>
      </c>
      <c r="K30" s="17"/>
    </row>
    <row r="31" ht="20.05" customHeight="1">
      <c r="B31" s="29"/>
      <c r="C31" s="16">
        <v>36220</v>
      </c>
      <c r="D31" s="17">
        <v>420549</v>
      </c>
      <c r="E31" s="17">
        <f>D31-C31</f>
        <v>384329</v>
      </c>
      <c r="F31" s="17">
        <f>F30+'Cashflow '!D31</f>
        <v>142394</v>
      </c>
      <c r="G31" s="17">
        <f>D31-H31</f>
        <v>282304</v>
      </c>
      <c r="H31" s="17">
        <v>138245</v>
      </c>
      <c r="I31" s="17">
        <f>G31+H31-C31-E31</f>
        <v>0</v>
      </c>
      <c r="J31" s="17">
        <f>C31-G31</f>
        <v>-246084</v>
      </c>
      <c r="K31" s="22"/>
    </row>
    <row r="32" ht="20.05" customHeight="1">
      <c r="B32" s="30">
        <v>2022</v>
      </c>
      <c r="C32" s="16">
        <v>36393</v>
      </c>
      <c r="D32" s="17">
        <v>410767</v>
      </c>
      <c r="E32" s="17">
        <f>D32-C32</f>
        <v>374374</v>
      </c>
      <c r="F32" s="17">
        <f>F31+'Cashflow '!D32</f>
        <v>161525</v>
      </c>
      <c r="G32" s="17">
        <f>D32-H32</f>
        <v>276766</v>
      </c>
      <c r="H32" s="17">
        <v>134001</v>
      </c>
      <c r="I32" s="17">
        <f>G32+H32-C32-E32</f>
        <v>0</v>
      </c>
      <c r="J32" s="17">
        <f>C32-G32</f>
        <v>-240373</v>
      </c>
      <c r="K32" s="17">
        <f>J32</f>
        <v>-240373</v>
      </c>
    </row>
    <row r="33" ht="20.05" customHeight="1">
      <c r="B33" s="29"/>
      <c r="C33" s="16"/>
      <c r="D33" s="17"/>
      <c r="E33" s="17"/>
      <c r="F33" s="17"/>
      <c r="G33" s="17"/>
      <c r="H33" s="17"/>
      <c r="I33" s="17"/>
      <c r="J33" s="17"/>
      <c r="K33" s="17">
        <f>'Model'!F32</f>
        <v>-207709.912410779</v>
      </c>
    </row>
  </sheetData>
  <mergeCells count="1">
    <mergeCell ref="B2:K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dimension ref="B3:E22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22.6719" style="36" customWidth="1"/>
    <col min="2" max="5" width="11.0547" style="36" customWidth="1"/>
    <col min="6" max="16384" width="16.3516" style="36" customWidth="1"/>
  </cols>
  <sheetData>
    <row r="1" ht="40" customHeight="1"/>
    <row r="2" ht="27.65" customHeight="1">
      <c r="B2" t="s" s="2">
        <v>55</v>
      </c>
      <c r="C2" s="2"/>
      <c r="D2" s="2"/>
      <c r="E2" s="2"/>
    </row>
    <row r="3" ht="20.35" customHeight="1">
      <c r="B3" s="4"/>
      <c r="C3" t="s" s="37">
        <v>55</v>
      </c>
      <c r="D3" t="s" s="37">
        <v>56</v>
      </c>
      <c r="E3" t="s" s="37">
        <v>57</v>
      </c>
    </row>
    <row r="4" ht="20.7" customHeight="1">
      <c r="B4" s="25">
        <v>2018</v>
      </c>
      <c r="C4" s="38">
        <v>1447.34</v>
      </c>
      <c r="D4" s="39"/>
      <c r="E4" s="39"/>
    </row>
    <row r="5" ht="20.7" customHeight="1">
      <c r="B5" s="29"/>
      <c r="C5" s="40">
        <v>1699.8</v>
      </c>
      <c r="D5" s="41"/>
      <c r="E5" s="41"/>
    </row>
    <row r="6" ht="20.7" customHeight="1">
      <c r="B6" s="29"/>
      <c r="C6" s="40">
        <v>2003</v>
      </c>
      <c r="D6" s="41"/>
      <c r="E6" s="41"/>
    </row>
    <row r="7" ht="20.7" customHeight="1">
      <c r="B7" s="29"/>
      <c r="C7" s="40">
        <v>1501.97</v>
      </c>
      <c r="D7" s="41"/>
      <c r="E7" s="41"/>
    </row>
    <row r="8" ht="20.7" customHeight="1">
      <c r="B8" s="30">
        <v>2019</v>
      </c>
      <c r="C8" s="40">
        <v>1780.75</v>
      </c>
      <c r="D8" s="41"/>
      <c r="E8" s="41"/>
    </row>
    <row r="9" ht="20.7" customHeight="1">
      <c r="B9" s="29"/>
      <c r="C9" s="40">
        <v>1893.63</v>
      </c>
      <c r="D9" s="41"/>
      <c r="E9" s="41"/>
    </row>
    <row r="10" ht="20.7" customHeight="1">
      <c r="B10" s="29"/>
      <c r="C10" s="40">
        <v>1735.91</v>
      </c>
      <c r="D10" s="42"/>
      <c r="E10" s="42"/>
    </row>
    <row r="11" ht="20.35" customHeight="1">
      <c r="B11" s="29"/>
      <c r="C11" s="43">
        <v>1847.84</v>
      </c>
      <c r="D11" s="17"/>
      <c r="E11" s="17"/>
    </row>
    <row r="12" ht="20.05" customHeight="1">
      <c r="B12" s="30">
        <v>2020</v>
      </c>
      <c r="C12" s="16">
        <v>1949</v>
      </c>
      <c r="D12" s="17"/>
      <c r="E12" s="17"/>
    </row>
    <row r="13" ht="20.05" customHeight="1">
      <c r="B13" s="29"/>
      <c r="C13" s="16">
        <v>2579</v>
      </c>
      <c r="D13" s="17"/>
      <c r="E13" s="17"/>
    </row>
    <row r="14" ht="20.05" customHeight="1">
      <c r="B14" s="29"/>
      <c r="C14" s="16">
        <v>3148.72998</v>
      </c>
      <c r="D14" s="17"/>
      <c r="E14" s="17"/>
    </row>
    <row r="15" ht="20.05" customHeight="1">
      <c r="B15" s="29"/>
      <c r="C15" s="16">
        <v>3256.929932</v>
      </c>
      <c r="D15" s="17"/>
      <c r="E15" s="17"/>
    </row>
    <row r="16" ht="20.05" customHeight="1">
      <c r="B16" s="30">
        <v>2021</v>
      </c>
      <c r="C16" s="16">
        <v>3094.080078</v>
      </c>
      <c r="D16" s="22"/>
      <c r="E16" s="22"/>
    </row>
    <row r="17" ht="20.05" customHeight="1">
      <c r="B17" s="29"/>
      <c r="C17" s="16">
        <v>3719</v>
      </c>
      <c r="D17" s="17"/>
      <c r="E17" s="17"/>
    </row>
    <row r="18" ht="20.05" customHeight="1">
      <c r="B18" s="29"/>
      <c r="C18" s="16">
        <v>3283.26</v>
      </c>
      <c r="D18" s="17"/>
      <c r="E18" s="17"/>
    </row>
    <row r="19" ht="20.05" customHeight="1">
      <c r="B19" s="29"/>
      <c r="C19" s="16">
        <v>3334.34</v>
      </c>
      <c r="D19" s="17"/>
      <c r="E19" s="17"/>
    </row>
    <row r="20" ht="20.05" customHeight="1">
      <c r="B20" s="30">
        <v>2022</v>
      </c>
      <c r="C20" s="20">
        <v>3271.2</v>
      </c>
      <c r="D20" s="22"/>
      <c r="E20" s="17">
        <v>4600.288941926650</v>
      </c>
    </row>
    <row r="21" ht="20.05" customHeight="1">
      <c r="B21" s="29"/>
      <c r="C21" s="16">
        <v>2485.63</v>
      </c>
      <c r="D21" s="17">
        <f>C21</f>
        <v>2485.63</v>
      </c>
      <c r="E21" s="17"/>
    </row>
    <row r="22" ht="20.05" customHeight="1">
      <c r="B22" s="29"/>
      <c r="C22" s="16"/>
      <c r="D22" s="17">
        <f>'Model'!F45</f>
        <v>3622.018319808370</v>
      </c>
      <c r="E22" s="17"/>
    </row>
  </sheetData>
  <mergeCells count="1">
    <mergeCell ref="B2:E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6.xml><?xml version="1.0" encoding="utf-8"?>
<worksheet xmlns:r="http://schemas.openxmlformats.org/officeDocument/2006/relationships" xmlns="http://schemas.openxmlformats.org/spreadsheetml/2006/main">
  <sheetPr>
    <pageSetUpPr fitToPage="1"/>
  </sheetPr>
  <dimension ref="A2:I23"/>
  <sheetViews>
    <sheetView workbookViewId="0" showGridLines="0" defaultGridColor="1">
      <pane topLeftCell="B3" xSplit="1" ySplit="2" activePane="bottomRight" state="frozen"/>
    </sheetView>
  </sheetViews>
  <sheetFormatPr defaultColWidth="16.3333" defaultRowHeight="19.9" customHeight="1" outlineLevelRow="0" outlineLevelCol="0"/>
  <cols>
    <col min="1" max="9" width="11.0156" style="44" customWidth="1"/>
    <col min="10" max="16384" width="16.3516" style="44" customWidth="1"/>
  </cols>
  <sheetData>
    <row r="1" ht="27.65" customHeight="1">
      <c r="A1" t="s" s="2">
        <v>58</v>
      </c>
      <c r="B1" s="2"/>
      <c r="C1" s="2"/>
      <c r="D1" s="2"/>
      <c r="E1" s="2"/>
      <c r="F1" s="2"/>
      <c r="G1" s="2"/>
      <c r="H1" s="2"/>
      <c r="I1" s="2"/>
    </row>
    <row r="2" ht="20.25" customHeight="1">
      <c r="A2" s="32"/>
      <c r="B2" t="s" s="5">
        <v>12</v>
      </c>
      <c r="C2" t="s" s="5">
        <v>59</v>
      </c>
      <c r="D2" t="s" s="5">
        <v>60</v>
      </c>
      <c r="E2" t="s" s="5">
        <v>59</v>
      </c>
      <c r="F2" t="s" s="5">
        <v>61</v>
      </c>
      <c r="G2" t="s" s="5">
        <v>12</v>
      </c>
      <c r="H2" t="s" s="5">
        <v>27</v>
      </c>
      <c r="I2" t="s" s="5">
        <v>62</v>
      </c>
    </row>
    <row r="3" ht="20.25" customHeight="1">
      <c r="A3" s="25">
        <v>1995</v>
      </c>
      <c r="B3" s="33">
        <v>-0.044</v>
      </c>
      <c r="C3" s="34">
        <v>1.272</v>
      </c>
      <c r="D3" s="34"/>
      <c r="E3" s="34"/>
      <c r="F3" s="34"/>
      <c r="G3" s="34">
        <f>B3</f>
        <v>-0.044</v>
      </c>
      <c r="H3" s="34">
        <f>D3</f>
        <v>0</v>
      </c>
      <c r="I3" s="34">
        <f>G3+H3</f>
        <v>-0.044</v>
      </c>
    </row>
    <row r="4" ht="20.05" customHeight="1">
      <c r="A4" s="30">
        <v>1996</v>
      </c>
      <c r="B4" s="16"/>
      <c r="C4" s="17">
        <f>0.231+7.97</f>
        <v>8.201000000000001</v>
      </c>
      <c r="D4" s="17"/>
      <c r="E4" s="17"/>
      <c r="F4" s="17"/>
      <c r="G4" s="17">
        <f>B4+G3</f>
        <v>-0.044</v>
      </c>
      <c r="H4" s="17">
        <f>D4+H3</f>
        <v>0</v>
      </c>
      <c r="I4" s="17">
        <f>G4+H4</f>
        <v>-0.044</v>
      </c>
    </row>
    <row r="5" ht="20.05" customHeight="1">
      <c r="A5" s="30">
        <v>1997</v>
      </c>
      <c r="B5" s="16">
        <v>75</v>
      </c>
      <c r="C5" s="17">
        <f>0.2</f>
        <v>0.2</v>
      </c>
      <c r="D5" s="17">
        <v>49.103</v>
      </c>
      <c r="E5" s="17"/>
      <c r="F5" s="17"/>
      <c r="G5" s="17">
        <f>B5+G4</f>
        <v>74.956</v>
      </c>
      <c r="H5" s="17">
        <f>D5+H4</f>
        <v>49.103</v>
      </c>
      <c r="I5" s="17">
        <f>G5+H5</f>
        <v>124.059</v>
      </c>
    </row>
    <row r="6" ht="20.05" customHeight="1">
      <c r="A6" s="30">
        <v>1998</v>
      </c>
      <c r="B6" s="16">
        <f>325.987-78.108</f>
        <v>247.879</v>
      </c>
      <c r="C6" s="17">
        <v>14.366</v>
      </c>
      <c r="D6" s="17"/>
      <c r="E6" s="17"/>
      <c r="F6" s="17"/>
      <c r="G6" s="17">
        <f>B6+G5</f>
        <v>322.835</v>
      </c>
      <c r="H6" s="17">
        <f>D6+H5</f>
        <v>49.103</v>
      </c>
      <c r="I6" s="17">
        <f>G6+H6</f>
        <v>371.938</v>
      </c>
    </row>
    <row r="7" ht="20.05" customHeight="1">
      <c r="A7" s="30">
        <v>1999</v>
      </c>
      <c r="B7" s="16">
        <f>1263.639-188.886</f>
        <v>1074.753</v>
      </c>
      <c r="C7" s="17">
        <v>64.46899999999999</v>
      </c>
      <c r="D7" s="17"/>
      <c r="E7" s="17"/>
      <c r="F7" s="17"/>
      <c r="G7" s="17">
        <f>B7+G6</f>
        <v>1397.588</v>
      </c>
      <c r="H7" s="17">
        <f>D7+H6</f>
        <v>49.103</v>
      </c>
      <c r="I7" s="17">
        <f>G7+H7</f>
        <v>1446.691</v>
      </c>
    </row>
    <row r="8" ht="20.05" customHeight="1">
      <c r="A8" s="30">
        <v>2000</v>
      </c>
      <c r="B8" s="16">
        <f>681.499-16.927</f>
        <v>664.572</v>
      </c>
      <c r="C8" s="17">
        <v>44.697</v>
      </c>
      <c r="D8" s="17"/>
      <c r="E8" s="17"/>
      <c r="F8" s="17"/>
      <c r="G8" s="17">
        <f>B8+G7</f>
        <v>2062.16</v>
      </c>
      <c r="H8" s="17">
        <f>D8+H7</f>
        <v>49.103</v>
      </c>
      <c r="I8" s="17">
        <f>G8+H8</f>
        <v>2111.263</v>
      </c>
    </row>
    <row r="9" ht="20.05" customHeight="1">
      <c r="A9" s="30">
        <v>2001</v>
      </c>
      <c r="B9" s="16">
        <f>10-19.575</f>
        <v>-9.574999999999999</v>
      </c>
      <c r="C9" s="17">
        <f>16.625</f>
        <v>16.625</v>
      </c>
      <c r="D9" s="17">
        <v>99.831</v>
      </c>
      <c r="E9" s="17"/>
      <c r="F9" s="17"/>
      <c r="G9" s="17">
        <f>B9+G8</f>
        <v>2052.585</v>
      </c>
      <c r="H9" s="17">
        <f>D9+H8</f>
        <v>148.934</v>
      </c>
      <c r="I9" s="17">
        <f>G9+H9</f>
        <v>2201.519</v>
      </c>
    </row>
    <row r="10" ht="20.05" customHeight="1">
      <c r="A10" s="30">
        <v>2002</v>
      </c>
      <c r="B10" s="16">
        <v>-14.795</v>
      </c>
      <c r="C10" s="17">
        <v>121.689</v>
      </c>
      <c r="D10" s="17"/>
      <c r="E10" s="17"/>
      <c r="F10" s="17"/>
      <c r="G10" s="17">
        <f>B10+G9</f>
        <v>2037.79</v>
      </c>
      <c r="H10" s="17">
        <f>D10+H9</f>
        <v>148.934</v>
      </c>
      <c r="I10" s="17">
        <f>G10+H10</f>
        <v>2186.724</v>
      </c>
    </row>
    <row r="11" ht="20.05" customHeight="1">
      <c r="A11" s="30">
        <v>2003</v>
      </c>
      <c r="B11" s="16">
        <v>-495.308</v>
      </c>
      <c r="C11" s="17">
        <v>163.322</v>
      </c>
      <c r="D11" s="17"/>
      <c r="E11" s="17"/>
      <c r="F11" s="17"/>
      <c r="G11" s="17">
        <f>B11+G10</f>
        <v>1542.482</v>
      </c>
      <c r="H11" s="17">
        <f>D11+H10</f>
        <v>148.934</v>
      </c>
      <c r="I11" s="17">
        <f>G11+H11</f>
        <v>1691.416</v>
      </c>
    </row>
    <row r="12" ht="20.05" customHeight="1">
      <c r="A12" s="30">
        <v>2004</v>
      </c>
      <c r="B12" s="16">
        <v>-157</v>
      </c>
      <c r="C12" s="17">
        <v>60</v>
      </c>
      <c r="D12" s="17"/>
      <c r="E12" s="17"/>
      <c r="F12" s="17"/>
      <c r="G12" s="17">
        <f>B12+G11</f>
        <v>1385.482</v>
      </c>
      <c r="H12" s="17">
        <f>D12+H11</f>
        <v>148.934</v>
      </c>
      <c r="I12" s="17">
        <f>G12+H12</f>
        <v>1534.416</v>
      </c>
    </row>
    <row r="13" ht="20.05" customHeight="1">
      <c r="A13" s="30">
        <v>2005</v>
      </c>
      <c r="B13" s="16">
        <f>11-270</f>
        <v>-259</v>
      </c>
      <c r="C13" s="17">
        <v>59</v>
      </c>
      <c r="D13" s="17"/>
      <c r="E13" s="17">
        <v>7</v>
      </c>
      <c r="F13" s="17"/>
      <c r="G13" s="17">
        <f>B13+G12</f>
        <v>1126.482</v>
      </c>
      <c r="H13" s="17">
        <f>D13+H12</f>
        <v>148.934</v>
      </c>
      <c r="I13" s="17">
        <f>G13+H13</f>
        <v>1275.416</v>
      </c>
    </row>
    <row r="14" ht="20.05" customHeight="1">
      <c r="A14" s="30">
        <v>2006</v>
      </c>
      <c r="B14" s="16">
        <f>98-303</f>
        <v>-205</v>
      </c>
      <c r="C14" s="17">
        <f>35</f>
        <v>35</v>
      </c>
      <c r="D14" s="17">
        <v>-252</v>
      </c>
      <c r="E14" s="17">
        <v>102</v>
      </c>
      <c r="F14" s="17"/>
      <c r="G14" s="17">
        <f>B14+G13</f>
        <v>921.482</v>
      </c>
      <c r="H14" s="17">
        <f>D14+H13</f>
        <v>-103.066</v>
      </c>
      <c r="I14" s="17">
        <f>G14+H14</f>
        <v>818.4160000000001</v>
      </c>
    </row>
    <row r="15" ht="20.05" customHeight="1">
      <c r="A15" s="30">
        <v>2007</v>
      </c>
      <c r="B15" s="16">
        <f>115-74</f>
        <v>41</v>
      </c>
      <c r="C15" s="17"/>
      <c r="D15" s="17">
        <v>-248</v>
      </c>
      <c r="E15" s="17">
        <v>257</v>
      </c>
      <c r="F15" s="17"/>
      <c r="G15" s="17">
        <f>B15+G14</f>
        <v>962.482</v>
      </c>
      <c r="H15" s="17">
        <f>D15+H14</f>
        <v>-351.066</v>
      </c>
      <c r="I15" s="17">
        <f>G15+H15</f>
        <v>611.4160000000001</v>
      </c>
    </row>
    <row r="16" ht="20.05" customHeight="1">
      <c r="A16" s="30">
        <v>2008</v>
      </c>
      <c r="B16" s="16">
        <f>98-355</f>
        <v>-257</v>
      </c>
      <c r="C16" s="17"/>
      <c r="D16" s="17">
        <v>-100</v>
      </c>
      <c r="E16" s="17">
        <v>159</v>
      </c>
      <c r="F16" s="17"/>
      <c r="G16" s="17">
        <f>B16+G15</f>
        <v>705.482</v>
      </c>
      <c r="H16" s="17">
        <f>D16+H15</f>
        <v>-451.066</v>
      </c>
      <c r="I16" s="17">
        <f>G16+H16</f>
        <v>254.416</v>
      </c>
    </row>
    <row r="17" ht="20.05" customHeight="1">
      <c r="A17" s="30">
        <v>2009</v>
      </c>
      <c r="B17" s="16">
        <f>87-472</f>
        <v>-385</v>
      </c>
      <c r="C17" s="17"/>
      <c r="D17" s="17"/>
      <c r="E17" s="17">
        <v>105</v>
      </c>
      <c r="F17" s="17"/>
      <c r="G17" s="17">
        <f>B17+G16</f>
        <v>320.482</v>
      </c>
      <c r="H17" s="17">
        <f>D17+H16</f>
        <v>-451.066</v>
      </c>
      <c r="I17" s="17">
        <f>G17+H17</f>
        <v>-130.584</v>
      </c>
    </row>
    <row r="18" ht="20.05" customHeight="1">
      <c r="A18" s="30">
        <v>2010</v>
      </c>
      <c r="B18" s="16">
        <f>143-221</f>
        <v>-78</v>
      </c>
      <c r="C18" s="22"/>
      <c r="D18" s="17"/>
      <c r="E18" s="17">
        <v>259</v>
      </c>
      <c r="F18" s="17"/>
      <c r="G18" s="17">
        <f>B18+G17</f>
        <v>242.482</v>
      </c>
      <c r="H18" s="17">
        <f>D18+H17</f>
        <v>-451.066</v>
      </c>
      <c r="I18" s="17">
        <f>G18+H18</f>
        <v>-208.584</v>
      </c>
    </row>
    <row r="19" ht="20.05" customHeight="1">
      <c r="A19" s="30">
        <v>2011</v>
      </c>
      <c r="B19" s="16">
        <f>177-444</f>
        <v>-267</v>
      </c>
      <c r="C19" s="22"/>
      <c r="D19" s="17">
        <v>-277</v>
      </c>
      <c r="E19" s="17">
        <f>62</f>
        <v>62</v>
      </c>
      <c r="F19" s="17"/>
      <c r="G19" s="17">
        <f>B19+G18</f>
        <v>-24.518</v>
      </c>
      <c r="H19" s="17">
        <f>D19+H18</f>
        <v>-728.066</v>
      </c>
      <c r="I19" s="17">
        <f>G19+H19</f>
        <v>-752.5839999999999</v>
      </c>
    </row>
    <row r="20" ht="20.05" customHeight="1">
      <c r="A20" s="30">
        <v>2012</v>
      </c>
      <c r="B20" s="16">
        <f>3378-588</f>
        <v>2790</v>
      </c>
      <c r="C20" s="22"/>
      <c r="D20" s="17">
        <v>-960</v>
      </c>
      <c r="E20" s="17">
        <f>429</f>
        <v>429</v>
      </c>
      <c r="F20" s="17"/>
      <c r="G20" s="17">
        <f>B20+G19</f>
        <v>2765.482</v>
      </c>
      <c r="H20" s="17">
        <f>D20+H19</f>
        <v>-1688.066</v>
      </c>
      <c r="I20" s="17">
        <f>G20+H20</f>
        <v>1077.416</v>
      </c>
    </row>
    <row r="21" ht="20.05" customHeight="1">
      <c r="A21" s="30">
        <v>2013</v>
      </c>
      <c r="B21" s="16"/>
      <c r="C21" s="17">
        <f>SUM(C3:C20)</f>
        <v>588.841</v>
      </c>
      <c r="D21" s="17"/>
      <c r="E21" s="17">
        <f>SUM(E3:E20)</f>
        <v>1380</v>
      </c>
      <c r="F21" s="17"/>
      <c r="G21" s="17">
        <f>B21+G20</f>
        <v>2765.482</v>
      </c>
      <c r="H21" s="17">
        <f>D21+H20</f>
        <v>-1688.066</v>
      </c>
      <c r="I21" s="17">
        <f>G21+H21</f>
        <v>1077.416</v>
      </c>
    </row>
    <row r="22" ht="20.05" customHeight="1">
      <c r="A22" s="30">
        <v>2014</v>
      </c>
      <c r="B22" s="16"/>
      <c r="C22" s="17"/>
      <c r="D22" s="17"/>
      <c r="E22" s="17">
        <f>C21+E21</f>
        <v>1968.841</v>
      </c>
      <c r="F22" s="17"/>
      <c r="G22" s="17">
        <f>B22+G21</f>
        <v>2765.482</v>
      </c>
      <c r="H22" s="17">
        <f>D22+H21</f>
        <v>-1688.066</v>
      </c>
      <c r="I22" s="17">
        <f>G22+H22</f>
        <v>1077.416</v>
      </c>
    </row>
    <row r="23" ht="20.05" customHeight="1">
      <c r="A23" s="30">
        <v>2015</v>
      </c>
      <c r="B23" s="16"/>
      <c r="C23" s="17"/>
      <c r="D23" s="17"/>
      <c r="E23" s="17"/>
      <c r="F23" s="17"/>
      <c r="G23" s="17">
        <f>B23+G22</f>
        <v>2765.482</v>
      </c>
      <c r="H23" s="17">
        <f>D23+H22</f>
        <v>-1688.066</v>
      </c>
      <c r="I23" s="17">
        <f>G23+H23</f>
        <v>1077.416</v>
      </c>
    </row>
  </sheetData>
  <mergeCells count="1">
    <mergeCell ref="A1:I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