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<sst xmlns="http://schemas.openxmlformats.org/spreadsheetml/2006/main" uniqueCount="62">
  <si>
    <t>Financial model</t>
  </si>
  <si>
    <t>Rp bn</t>
  </si>
  <si>
    <t>4Q 2021</t>
  </si>
  <si>
    <t>Cashflow</t>
  </si>
  <si>
    <t>Growth</t>
  </si>
  <si>
    <t>Sales</t>
  </si>
  <si>
    <t>Costs ratio</t>
  </si>
  <si>
    <t>Cash costs</t>
  </si>
  <si>
    <t>Operating</t>
  </si>
  <si>
    <t>Investment</t>
  </si>
  <si>
    <t>Leases</t>
  </si>
  <si>
    <t>Finance</t>
  </si>
  <si>
    <t xml:space="preserve">Liabilities </t>
  </si>
  <si>
    <t>Equity</t>
  </si>
  <si>
    <t>Before revolver</t>
  </si>
  <si>
    <t>Revolver</t>
  </si>
  <si>
    <t>Beginning</t>
  </si>
  <si>
    <t>Change</t>
  </si>
  <si>
    <t>Ending</t>
  </si>
  <si>
    <t>Profit</t>
  </si>
  <si>
    <t xml:space="preserve">Non cash costs </t>
  </si>
  <si>
    <t>Others</t>
  </si>
  <si>
    <t>Net profit</t>
  </si>
  <si>
    <t>Balance sheet</t>
  </si>
  <si>
    <t>Other assets</t>
  </si>
  <si>
    <t xml:space="preserve">Depreciation </t>
  </si>
  <si>
    <t>Net other assets</t>
  </si>
  <si>
    <t>Check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</si>
  <si>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</si>
  <si>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</si>
  <si>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</si>
  <si>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</si>
  <si>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</si>
  <si>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</si>
  <si>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Cashflow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</si>
  <si>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</si>
  <si>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</si>
  <si>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</si>
  <si>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</si>
  <si>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</si>
  <si>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</si>
  <si>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</si>
  <si>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</si>
  <si>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v forecast </t>
  </si>
  <si>
    <t>Rpbn</t>
  </si>
  <si>
    <t>Others (in cashflow)</t>
  </si>
  <si>
    <t xml:space="preserve">Profit </t>
  </si>
  <si>
    <t xml:space="preserve">Sales growth </t>
  </si>
  <si>
    <t xml:space="preserve">Cost ratio </t>
  </si>
  <si>
    <t>Cashflow costs</t>
  </si>
  <si>
    <t>Receipts</t>
  </si>
  <si>
    <t xml:space="preserve">Operating </t>
  </si>
  <si>
    <t xml:space="preserve">Investment </t>
  </si>
  <si>
    <t xml:space="preserve">Interest </t>
  </si>
  <si>
    <t xml:space="preserve">Equity </t>
  </si>
  <si>
    <t xml:space="preserve">Free cashflow </t>
  </si>
  <si>
    <t>Cash</t>
  </si>
  <si>
    <t>Assets</t>
  </si>
  <si>
    <t xml:space="preserve">Check </t>
  </si>
  <si>
    <t>Share price</t>
  </si>
  <si>
    <t>Rp</t>
  </si>
  <si>
    <t>AMRT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</si>
</sst>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horizontal="right" vertical="top" wrapText="1"/>
    </xf>
    <xf numFmtId="3" fontId="0" borderId="4" applyNumberFormat="1" applyFont="1" applyFill="0" applyBorder="1" applyAlignment="1" applyProtection="0">
      <alignment horizontal="right" vertical="top" wrapText="1"/>
    </xf>
    <xf numFmtId="3" fontId="0" borderId="6" applyNumberFormat="1" applyFont="1" applyFill="0" applyBorder="1" applyAlignment="1" applyProtection="0">
      <alignment horizontal="right" vertical="top" wrapText="1"/>
    </xf>
    <xf numFmtId="3" fontId="0" borderId="7" applyNumberFormat="1" applyFont="1" applyFill="0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837103</xdr:colOff>
      <xdr:row>2</xdr:row>
      <xdr:rowOff>47249</xdr:rowOff>
    </xdr:from>
    <xdr:to>
      <xdr:col>13</xdr:col>
      <xdr:colOff>402655</xdr:colOff>
      <xdr:row>48</xdr:row>
      <xdr:rowOff>38949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561503" y="1161039"/>
          <a:ext cx="8277753" cy="1170999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2.5312" style="1" customWidth="1"/>
    <col min="2" max="2" width="14.7656" style="1" customWidth="1"/>
    <col min="3" max="6" width="8.64844" style="1" customWidth="1"/>
    <col min="7" max="16384" width="16.3516" style="1" customWidth="1"/>
  </cols>
  <sheetData>
    <row r="1" ht="60.0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AVERAGE('Sales'!I27:I30)</f>
        <v>0.041280397589029</v>
      </c>
      <c r="D4" s="8"/>
      <c r="E4" s="8"/>
      <c r="F4" s="9">
        <f>AVERAGE(C5:F5)</f>
        <v>0.03</v>
      </c>
    </row>
    <row r="5" ht="20.05" customHeight="1">
      <c r="B5" t="s" s="10">
        <v>4</v>
      </c>
      <c r="C5" s="11">
        <v>0.03</v>
      </c>
      <c r="D5" s="12">
        <v>-0.02</v>
      </c>
      <c r="E5" s="12">
        <v>0.17</v>
      </c>
      <c r="F5" s="12">
        <v>-0.06</v>
      </c>
    </row>
    <row r="6" ht="20.05" customHeight="1">
      <c r="B6" t="s" s="10">
        <v>5</v>
      </c>
      <c r="C6" s="13">
        <f>'Sales'!C30*(1+C5)</f>
        <v>21772.346</v>
      </c>
      <c r="D6" s="14">
        <f>C6*(1+D5)</f>
        <v>21336.89908</v>
      </c>
      <c r="E6" s="14">
        <f>D6*(1+E5)</f>
        <v>24964.1719236</v>
      </c>
      <c r="F6" s="14">
        <f>E6*(1+F5)</f>
        <v>23466.321608184</v>
      </c>
    </row>
    <row r="7" ht="20.05" customHeight="1">
      <c r="B7" t="s" s="10">
        <v>6</v>
      </c>
      <c r="C7" s="15">
        <f>AVERAGE('Sales'!J30:K30)</f>
        <v>-0.928709440906228</v>
      </c>
      <c r="D7" s="16">
        <f>C7</f>
        <v>-0.928709440906228</v>
      </c>
      <c r="E7" s="16">
        <f>D7</f>
        <v>-0.928709440906228</v>
      </c>
      <c r="F7" s="16">
        <f>E7</f>
        <v>-0.928709440906228</v>
      </c>
    </row>
    <row r="8" ht="20.05" customHeight="1">
      <c r="B8" t="s" s="10">
        <v>7</v>
      </c>
      <c r="C8" s="17">
        <f>C7*C6</f>
        <v>-20220.1832808769</v>
      </c>
      <c r="D8" s="18">
        <f>D7*D6</f>
        <v>-19815.7796152594</v>
      </c>
      <c r="E8" s="18">
        <f>E7*E6</f>
        <v>-23184.4621498535</v>
      </c>
      <c r="F8" s="18">
        <f>F7*F6</f>
        <v>-21793.3944208623</v>
      </c>
    </row>
    <row r="9" ht="20.05" customHeight="1">
      <c r="B9" t="s" s="10">
        <v>8</v>
      </c>
      <c r="C9" s="17">
        <f>C6+C8</f>
        <v>1552.1627191231</v>
      </c>
      <c r="D9" s="18">
        <f>D6+D8</f>
        <v>1521.1194647406</v>
      </c>
      <c r="E9" s="18">
        <f>E6+E8</f>
        <v>1779.7097737465</v>
      </c>
      <c r="F9" s="18">
        <f>F6+F8</f>
        <v>1672.9271873217</v>
      </c>
    </row>
    <row r="10" ht="20.05" customHeight="1">
      <c r="B10" t="s" s="10">
        <v>9</v>
      </c>
      <c r="C10" s="17">
        <f>AVERAGE('Cashflow'!E30)</f>
        <v>-916.9</v>
      </c>
      <c r="D10" s="18">
        <f>C10</f>
        <v>-916.9</v>
      </c>
      <c r="E10" s="18">
        <f>D10</f>
        <v>-916.9</v>
      </c>
      <c r="F10" s="18">
        <f>E10</f>
        <v>-916.9</v>
      </c>
    </row>
    <row r="11" ht="20.05" customHeight="1">
      <c r="B11" t="s" s="10">
        <v>10</v>
      </c>
      <c r="C11" s="17">
        <f>'Cashflow'!G30</f>
        <v>-98.40000000000001</v>
      </c>
      <c r="D11" s="18">
        <f>C11</f>
        <v>-98.40000000000001</v>
      </c>
      <c r="E11" s="18">
        <f>D11</f>
        <v>-98.40000000000001</v>
      </c>
      <c r="F11" s="18">
        <f>E11</f>
        <v>-98.40000000000001</v>
      </c>
    </row>
    <row r="12" ht="20.05" customHeight="1">
      <c r="B12" t="s" s="10">
        <v>11</v>
      </c>
      <c r="C12" s="17">
        <f>C13+C14+C16</f>
        <v>-536.8627191231</v>
      </c>
      <c r="D12" s="18">
        <f>D13+D14+D16</f>
        <v>-505.8194647406</v>
      </c>
      <c r="E12" s="18">
        <f>E13+E14+E16</f>
        <v>-764.4097737465</v>
      </c>
      <c r="F12" s="18">
        <f>F13+F14+F16</f>
        <v>-657.6271873217</v>
      </c>
    </row>
    <row r="13" ht="20.05" customHeight="1">
      <c r="B13" t="s" s="10">
        <v>12</v>
      </c>
      <c r="C13" s="17">
        <f>-('Balance sheet'!G26)/20</f>
        <v>-917.85</v>
      </c>
      <c r="D13" s="18">
        <f>-C28/20</f>
        <v>-867.0375</v>
      </c>
      <c r="E13" s="18">
        <f>-D28/20</f>
        <v>-818.765625</v>
      </c>
      <c r="F13" s="18">
        <f>-E28/20</f>
        <v>-772.90734375</v>
      </c>
    </row>
    <row r="14" ht="20.05" customHeight="1">
      <c r="B14" t="s" s="10">
        <v>13</v>
      </c>
      <c r="C14" s="17">
        <f>IF(C23&gt;0,-C23*0.2,0)</f>
        <v>-54.1384295389058</v>
      </c>
      <c r="D14" s="18">
        <f>IF(D23&gt;0,-D23*0.2,0)</f>
        <v>-47.9297786624058</v>
      </c>
      <c r="E14" s="18">
        <f>IF(E23&gt;0,-E23*0.2,0)</f>
        <v>-99.64784046358579</v>
      </c>
      <c r="F14" s="18">
        <f>IF(F23&gt;0,-F23*0.2,0)</f>
        <v>-78.2913231786258</v>
      </c>
    </row>
    <row r="15" ht="20.05" customHeight="1">
      <c r="B15" t="s" s="10">
        <v>14</v>
      </c>
      <c r="C15" s="17">
        <f>C9+C10+C13+C14+C11</f>
        <v>-435.125710415806</v>
      </c>
      <c r="D15" s="18">
        <f>D9+D10+D13+D14+D11</f>
        <v>-409.147813921806</v>
      </c>
      <c r="E15" s="18">
        <f>E9+E10+E13+E14+E11</f>
        <v>-154.003691717086</v>
      </c>
      <c r="F15" s="18">
        <f>F9+F10+F13+F14+F11</f>
        <v>-193.571479606926</v>
      </c>
    </row>
    <row r="16" ht="20.05" customHeight="1">
      <c r="B16" t="s" s="10">
        <v>15</v>
      </c>
      <c r="C16" s="17">
        <f>-MIN(0,C15)</f>
        <v>435.125710415806</v>
      </c>
      <c r="D16" s="18">
        <f>-MIN(C29,D15)</f>
        <v>409.147813921806</v>
      </c>
      <c r="E16" s="18">
        <f>-MIN(D29,E15)</f>
        <v>154.003691717086</v>
      </c>
      <c r="F16" s="18">
        <f>-MIN(E29,F15)</f>
        <v>193.571479606926</v>
      </c>
    </row>
    <row r="17" ht="20.05" customHeight="1">
      <c r="B17" t="s" s="10">
        <v>16</v>
      </c>
      <c r="C17" s="17">
        <f>'Balance sheet'!C26</f>
        <v>2522</v>
      </c>
      <c r="D17" s="18">
        <f>C19</f>
        <v>2522</v>
      </c>
      <c r="E17" s="18">
        <f>D19</f>
        <v>2522</v>
      </c>
      <c r="F17" s="18">
        <f>E19</f>
        <v>2522</v>
      </c>
    </row>
    <row r="18" ht="20.05" customHeight="1">
      <c r="B18" t="s" s="10">
        <v>17</v>
      </c>
      <c r="C18" s="17">
        <f>C9+C10+C12+C11</f>
        <v>0</v>
      </c>
      <c r="D18" s="18">
        <f>D9+D10+D12+D11</f>
        <v>0</v>
      </c>
      <c r="E18" s="18">
        <f>E9+E10+E12+E11</f>
        <v>0</v>
      </c>
      <c r="F18" s="18">
        <f>F9+F10+F12+F11</f>
        <v>0</v>
      </c>
    </row>
    <row r="19" ht="20.05" customHeight="1">
      <c r="B19" t="s" s="10">
        <v>18</v>
      </c>
      <c r="C19" s="17">
        <f>C17+C18</f>
        <v>2522</v>
      </c>
      <c r="D19" s="18">
        <f>D17+D18</f>
        <v>2522</v>
      </c>
      <c r="E19" s="18">
        <f>E17+E18</f>
        <v>2522</v>
      </c>
      <c r="F19" s="18">
        <f>F17+F18</f>
        <v>2522</v>
      </c>
    </row>
    <row r="20" ht="20.05" customHeight="1">
      <c r="B20" t="s" s="19">
        <v>19</v>
      </c>
      <c r="C20" s="20"/>
      <c r="D20" s="21"/>
      <c r="E20" s="21"/>
      <c r="F20" s="22"/>
    </row>
    <row r="21" ht="20.05" customHeight="1">
      <c r="B21" t="s" s="10">
        <v>20</v>
      </c>
      <c r="C21" s="17">
        <f>-AVERAGE('Sales'!E30)</f>
        <v>-785.7</v>
      </c>
      <c r="D21" s="18">
        <f>C21</f>
        <v>-785.7</v>
      </c>
      <c r="E21" s="18">
        <f>D21</f>
        <v>-785.7</v>
      </c>
      <c r="F21" s="18">
        <f>E21</f>
        <v>-785.7</v>
      </c>
    </row>
    <row r="22" ht="20.05" customHeight="1">
      <c r="B22" t="s" s="10">
        <v>21</v>
      </c>
      <c r="C22" s="17">
        <f>-AVERAGE('Sales'!F24:F30)</f>
        <v>-495.770571428571</v>
      </c>
      <c r="D22" s="18">
        <f>C22</f>
        <v>-495.770571428571</v>
      </c>
      <c r="E22" s="18">
        <f>D22</f>
        <v>-495.770571428571</v>
      </c>
      <c r="F22" s="18">
        <f>E22</f>
        <v>-495.770571428571</v>
      </c>
    </row>
    <row r="23" ht="20.05" customHeight="1">
      <c r="B23" t="s" s="10">
        <v>22</v>
      </c>
      <c r="C23" s="17">
        <f>C6+C8+C21+C22</f>
        <v>270.692147694529</v>
      </c>
      <c r="D23" s="18">
        <f>D6+D8+D21+D22</f>
        <v>239.648893312029</v>
      </c>
      <c r="E23" s="18">
        <f>E6+E8+E21+E22</f>
        <v>498.239202317929</v>
      </c>
      <c r="F23" s="18">
        <f>F6+F8+F21+F22</f>
        <v>391.456615893129</v>
      </c>
    </row>
    <row r="24" ht="20.05" customHeight="1">
      <c r="B24" t="s" s="19">
        <v>23</v>
      </c>
      <c r="C24" s="20"/>
      <c r="D24" s="21"/>
      <c r="E24" s="21"/>
      <c r="F24" s="21"/>
    </row>
    <row r="25" ht="20.05" customHeight="1">
      <c r="B25" t="s" s="10">
        <v>24</v>
      </c>
      <c r="C25" s="17">
        <f>'Balance sheet'!E26+'Balance sheet'!F26-C10+C22</f>
        <v>35869.1294285714</v>
      </c>
      <c r="D25" s="18">
        <f>C25-D10+D22</f>
        <v>36290.2588571428</v>
      </c>
      <c r="E25" s="18">
        <f>D25-E10+E22</f>
        <v>36711.3882857142</v>
      </c>
      <c r="F25" s="18">
        <f>E25-F10+F22</f>
        <v>37132.5177142856</v>
      </c>
    </row>
    <row r="26" ht="20.05" customHeight="1">
      <c r="B26" t="s" s="10">
        <v>25</v>
      </c>
      <c r="C26" s="17">
        <f>'Balance sheet'!F26-C21</f>
        <v>12013.7</v>
      </c>
      <c r="D26" s="18">
        <f>C26-D21</f>
        <v>12799.4</v>
      </c>
      <c r="E26" s="18">
        <f>D26-E21</f>
        <v>13585.1</v>
      </c>
      <c r="F26" s="18">
        <f>E26-F21</f>
        <v>14370.8</v>
      </c>
    </row>
    <row r="27" ht="20.05" customHeight="1">
      <c r="B27" t="s" s="10">
        <v>26</v>
      </c>
      <c r="C27" s="17">
        <f>C25-C26</f>
        <v>23855.4294285714</v>
      </c>
      <c r="D27" s="18">
        <f>D25-D26</f>
        <v>23490.8588571428</v>
      </c>
      <c r="E27" s="18">
        <f>E25-E26</f>
        <v>23126.2882857142</v>
      </c>
      <c r="F27" s="18">
        <f>F25-F26</f>
        <v>22761.7177142856</v>
      </c>
    </row>
    <row r="28" ht="20.05" customHeight="1">
      <c r="B28" t="s" s="10">
        <v>12</v>
      </c>
      <c r="C28" s="17">
        <f>'Balance sheet'!G26+C13+C11</f>
        <v>17340.75</v>
      </c>
      <c r="D28" s="18">
        <f>C28+D13+D11</f>
        <v>16375.3125</v>
      </c>
      <c r="E28" s="18">
        <f>D28+E13+E11</f>
        <v>15458.146875</v>
      </c>
      <c r="F28" s="18">
        <f>E28+F13+F11</f>
        <v>14586.83953125</v>
      </c>
    </row>
    <row r="29" ht="20.05" customHeight="1">
      <c r="B29" t="s" s="10">
        <v>15</v>
      </c>
      <c r="C29" s="17">
        <f>C16</f>
        <v>435.125710415806</v>
      </c>
      <c r="D29" s="18">
        <f>C29+D16</f>
        <v>844.273524337612</v>
      </c>
      <c r="E29" s="18">
        <f>D29+E16</f>
        <v>998.277216054698</v>
      </c>
      <c r="F29" s="18">
        <f>E29+F16</f>
        <v>1191.848695661620</v>
      </c>
    </row>
    <row r="30" ht="20.05" customHeight="1">
      <c r="B30" t="s" s="10">
        <v>13</v>
      </c>
      <c r="C30" s="17">
        <f>'Balance sheet'!H26+C23+C14</f>
        <v>8601.553718155619</v>
      </c>
      <c r="D30" s="18">
        <f>C30+D23+D14</f>
        <v>8793.272832805240</v>
      </c>
      <c r="E30" s="18">
        <f>D30+E23+E14</f>
        <v>9191.864194659580</v>
      </c>
      <c r="F30" s="18">
        <f>E30+F23+F14</f>
        <v>9505.029487374080</v>
      </c>
    </row>
    <row r="31" ht="20.05" customHeight="1">
      <c r="B31" t="s" s="10">
        <v>27</v>
      </c>
      <c r="C31" s="17">
        <f>C28+C29+C30-C19-C27</f>
        <v>2.6e-11</v>
      </c>
      <c r="D31" s="18">
        <f>D28+D29+D30-D19-D27</f>
        <v>5.2e-11</v>
      </c>
      <c r="E31" s="18">
        <f>E28+E29+E30-E19-E27</f>
        <v>7.8e-11</v>
      </c>
      <c r="F31" s="18">
        <f>F28+F29+F30-F19-F27</f>
        <v>1e-10</v>
      </c>
    </row>
    <row r="32" ht="20.05" customHeight="1">
      <c r="B32" t="s" s="10">
        <v>28</v>
      </c>
      <c r="C32" s="17">
        <f>C19-C28-C29</f>
        <v>-15253.8757104158</v>
      </c>
      <c r="D32" s="18">
        <f>D19-D28-D29</f>
        <v>-14697.5860243376</v>
      </c>
      <c r="E32" s="18">
        <f>E19-E28-E29</f>
        <v>-13934.4240910547</v>
      </c>
      <c r="F32" s="18">
        <f>F19-F28-F29</f>
        <v>-13256.6882269116</v>
      </c>
    </row>
    <row r="33" ht="20.05" customHeight="1">
      <c r="B33" t="s" s="19">
        <v>29</v>
      </c>
      <c r="C33" s="17"/>
      <c r="D33" s="18"/>
      <c r="E33" s="18"/>
      <c r="F33" s="18"/>
    </row>
    <row r="34" ht="20.05" customHeight="1">
      <c r="B34" t="s" s="10">
        <v>30</v>
      </c>
      <c r="C34" s="17">
        <f>'Cashflow'!M30-(C12-C11)</f>
        <v>3963.6897191231</v>
      </c>
      <c r="D34" s="18">
        <f>C34-(D12-D11)</f>
        <v>4371.1091838637</v>
      </c>
      <c r="E34" s="18">
        <f>D34-(E12-E11)</f>
        <v>5037.1189576102</v>
      </c>
      <c r="F34" s="18">
        <f>E34-(F12-F11)</f>
        <v>5596.3461449319</v>
      </c>
    </row>
    <row r="35" ht="20.05" customHeight="1">
      <c r="B35" t="s" s="10">
        <v>31</v>
      </c>
      <c r="C35" s="17"/>
      <c r="D35" s="18"/>
      <c r="E35" s="18"/>
      <c r="F35" s="18">
        <v>48580</v>
      </c>
    </row>
    <row r="36" ht="20.05" customHeight="1">
      <c r="B36" t="s" s="10">
        <v>32</v>
      </c>
      <c r="C36" s="17"/>
      <c r="D36" s="18"/>
      <c r="E36" s="18"/>
      <c r="F36" s="23">
        <f>F35/(F19+F27)</f>
        <v>1.92139465204327</v>
      </c>
    </row>
    <row r="37" ht="20.05" customHeight="1">
      <c r="B37" t="s" s="10">
        <v>33</v>
      </c>
      <c r="C37" s="17"/>
      <c r="D37" s="18"/>
      <c r="E37" s="18"/>
      <c r="F37" s="16">
        <f>-(C14+D14+E14+F14)/F35</f>
        <v>0.00576384050727713</v>
      </c>
    </row>
    <row r="38" ht="20.05" customHeight="1">
      <c r="B38" t="s" s="10">
        <v>34</v>
      </c>
      <c r="C38" s="17"/>
      <c r="D38" s="18"/>
      <c r="E38" s="18"/>
      <c r="F38" s="18">
        <f>SUM(C9:F11)</f>
        <v>2464.7191449319</v>
      </c>
    </row>
    <row r="39" ht="20.05" customHeight="1">
      <c r="B39" t="s" s="10">
        <v>35</v>
      </c>
      <c r="C39" s="17"/>
      <c r="D39" s="18"/>
      <c r="E39" s="18"/>
      <c r="F39" s="18">
        <f>'Balance sheet'!E26/F38</f>
        <v>9.8266774329248</v>
      </c>
    </row>
    <row r="40" ht="20.05" customHeight="1">
      <c r="B40" t="s" s="10">
        <v>29</v>
      </c>
      <c r="C40" s="17"/>
      <c r="D40" s="18"/>
      <c r="E40" s="18"/>
      <c r="F40" s="18">
        <f>F35/F38</f>
        <v>19.7101564695081</v>
      </c>
    </row>
    <row r="41" ht="20.05" customHeight="1">
      <c r="B41" t="s" s="10">
        <v>36</v>
      </c>
      <c r="C41" s="17"/>
      <c r="D41" s="18"/>
      <c r="E41" s="18"/>
      <c r="F41" s="18">
        <v>25</v>
      </c>
    </row>
    <row r="42" ht="20.05" customHeight="1">
      <c r="B42" t="s" s="10">
        <v>37</v>
      </c>
      <c r="C42" s="17"/>
      <c r="D42" s="18"/>
      <c r="E42" s="18"/>
      <c r="F42" s="18">
        <f>F38*F41</f>
        <v>61617.9786232975</v>
      </c>
    </row>
    <row r="43" ht="20.05" customHeight="1">
      <c r="B43" t="s" s="10">
        <v>38</v>
      </c>
      <c r="C43" s="17"/>
      <c r="D43" s="18"/>
      <c r="E43" s="18"/>
      <c r="F43" s="18">
        <f>F35/F45</f>
        <v>41.5213675213675</v>
      </c>
    </row>
    <row r="44" ht="20.05" customHeight="1">
      <c r="B44" t="s" s="10">
        <v>39</v>
      </c>
      <c r="C44" s="17"/>
      <c r="D44" s="18"/>
      <c r="E44" s="18"/>
      <c r="F44" s="18">
        <f>F42/F43</f>
        <v>1484.006483928740</v>
      </c>
    </row>
    <row r="45" ht="20.05" customHeight="1">
      <c r="B45" t="s" s="10">
        <v>40</v>
      </c>
      <c r="C45" s="17"/>
      <c r="D45" s="18"/>
      <c r="E45" s="18"/>
      <c r="F45" s="18">
        <f>'Share price'!C19</f>
        <v>1170</v>
      </c>
    </row>
    <row r="46" ht="20.05" customHeight="1">
      <c r="B46" t="s" s="10">
        <v>41</v>
      </c>
      <c r="C46" s="17"/>
      <c r="D46" s="18"/>
      <c r="E46" s="18"/>
      <c r="F46" s="16">
        <f>F44/F45-1</f>
        <v>0.268381610195504</v>
      </c>
    </row>
    <row r="47" ht="20.05" customHeight="1">
      <c r="B47" t="s" s="10">
        <v>42</v>
      </c>
      <c r="C47" s="17"/>
      <c r="D47" s="18"/>
      <c r="E47" s="18"/>
      <c r="F47" s="16">
        <f>'Sales'!C30/'Sales'!C26-1</f>
        <v>0.156103697221615</v>
      </c>
    </row>
    <row r="48" ht="20.05" customHeight="1">
      <c r="B48" t="s" s="10">
        <v>43</v>
      </c>
      <c r="C48" s="17"/>
      <c r="D48" s="18"/>
      <c r="E48" s="18"/>
      <c r="F48" s="16">
        <f>('Sales'!D25+'Sales'!D30+'Sales'!D26+'Sales'!D27+'Sales'!D28+'Sales'!D29)/('Sales'!C25+'Sales'!C26+'Sales'!C27+'Sales'!C28+'Sales'!C30+'Sales'!C29)-1</f>
        <v>0.022174717818998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16406" style="24" customWidth="1"/>
    <col min="2" max="2" width="6.26562" style="24" customWidth="1"/>
    <col min="3" max="12" width="9.94531" style="24" customWidth="1"/>
    <col min="13" max="16384" width="16.3516" style="24" customWidth="1"/>
  </cols>
  <sheetData>
    <row r="1" ht="33.9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4">
        <v>44</v>
      </c>
      <c r="C3" t="s" s="4">
        <v>5</v>
      </c>
      <c r="D3" t="s" s="4">
        <v>36</v>
      </c>
      <c r="E3" t="s" s="4">
        <v>25</v>
      </c>
      <c r="F3" t="s" s="4">
        <v>45</v>
      </c>
      <c r="G3" t="s" s="4">
        <v>46</v>
      </c>
      <c r="H3" t="s" s="4">
        <v>46</v>
      </c>
      <c r="I3" t="s" s="4">
        <v>47</v>
      </c>
      <c r="J3" t="s" s="4">
        <v>48</v>
      </c>
      <c r="K3" t="s" s="4">
        <v>49</v>
      </c>
      <c r="L3" t="s" s="4">
        <v>49</v>
      </c>
    </row>
    <row r="4" ht="20.25" customHeight="1">
      <c r="B4" s="25">
        <v>2015</v>
      </c>
      <c r="C4" s="26">
        <v>10048</v>
      </c>
      <c r="D4" s="27"/>
      <c r="E4" s="28">
        <v>222.4</v>
      </c>
      <c r="F4" s="28">
        <v>90.75</v>
      </c>
      <c r="G4" s="28">
        <v>-38.7</v>
      </c>
      <c r="H4" s="29"/>
      <c r="I4" s="9"/>
      <c r="J4" s="30">
        <f>(E4+G4+F4-C4)/C4</f>
        <v>-0.972686106687898</v>
      </c>
      <c r="K4" s="30"/>
      <c r="L4" s="30">
        <f>('Cashflow'!D4+'Cashflow'!F4-'Cashflow'!C4)/'Cashflow'!C4</f>
        <v>-1.01458222458755</v>
      </c>
    </row>
    <row r="5" ht="20.05" customHeight="1">
      <c r="B5" s="31"/>
      <c r="C5" s="17">
        <v>12070.5</v>
      </c>
      <c r="D5" s="21"/>
      <c r="E5" s="18">
        <v>556.2</v>
      </c>
      <c r="F5" s="18">
        <v>90.75</v>
      </c>
      <c r="G5" s="18">
        <v>89.59999999999999</v>
      </c>
      <c r="H5" s="18"/>
      <c r="I5" s="16">
        <f>C5/C4-1</f>
        <v>0.201283837579618</v>
      </c>
      <c r="J5" s="16">
        <f>(E5+G5+F5-C5)/C5</f>
        <v>-0.938979329770929</v>
      </c>
      <c r="K5" s="16"/>
      <c r="L5" s="16">
        <f>('Cashflow'!D5+'Cashflow'!F5-'Cashflow'!C5)/'Cashflow'!C5</f>
        <v>-0.956778426269823</v>
      </c>
    </row>
    <row r="6" ht="20.05" customHeight="1">
      <c r="B6" s="31"/>
      <c r="C6" s="17">
        <v>12976.4</v>
      </c>
      <c r="D6" s="21"/>
      <c r="E6" s="18">
        <v>-88.3</v>
      </c>
      <c r="F6" s="18">
        <v>90.75</v>
      </c>
      <c r="G6" s="18">
        <v>172.9</v>
      </c>
      <c r="H6" s="18"/>
      <c r="I6" s="16">
        <f>C6/C5-1</f>
        <v>0.0750507435483203</v>
      </c>
      <c r="J6" s="16">
        <f>(E6+G6+F6-C6)/C6</f>
        <v>-0.986487007182269</v>
      </c>
      <c r="K6" s="16"/>
      <c r="L6" s="16">
        <f>('Cashflow'!D6+'Cashflow'!F6-'Cashflow'!C6)/'Cashflow'!C6</f>
        <v>-0.9174588121956539</v>
      </c>
    </row>
    <row r="7" ht="20.05" customHeight="1">
      <c r="B7" s="31"/>
      <c r="C7" s="17">
        <v>13170.5</v>
      </c>
      <c r="D7" s="21"/>
      <c r="E7" s="18">
        <v>956.6</v>
      </c>
      <c r="F7" s="18">
        <v>90.75</v>
      </c>
      <c r="G7" s="18">
        <v>240.4</v>
      </c>
      <c r="H7" s="18">
        <f>AVERAGE(G4:G7)</f>
        <v>116.05</v>
      </c>
      <c r="I7" s="16">
        <f>C7/C6-1</f>
        <v>0.0149579236151783</v>
      </c>
      <c r="J7" s="16">
        <f>(E7+G7+F7-C7)/C7</f>
        <v>-0.902224668767321</v>
      </c>
      <c r="K7" s="16"/>
      <c r="L7" s="16">
        <f>('Cashflow'!D7+'Cashflow'!F7-'Cashflow'!C7)/'Cashflow'!C7</f>
        <v>-0.889181324915292</v>
      </c>
    </row>
    <row r="8" ht="20.05" customHeight="1">
      <c r="B8" s="32">
        <v>2016</v>
      </c>
      <c r="C8" s="17">
        <v>12271.4</v>
      </c>
      <c r="D8" s="21"/>
      <c r="E8" s="18">
        <v>463.8</v>
      </c>
      <c r="F8" s="18">
        <v>108</v>
      </c>
      <c r="G8" s="18">
        <v>66.5</v>
      </c>
      <c r="H8" s="18">
        <f>AVERAGE(G5:G8)</f>
        <v>142.35</v>
      </c>
      <c r="I8" s="16">
        <f>C8/C7-1</f>
        <v>-0.06826620097946171</v>
      </c>
      <c r="J8" s="16">
        <f>(E8+G8+F8-C8)/C8</f>
        <v>-0.947984745016868</v>
      </c>
      <c r="K8" s="16">
        <f>AVERAGE(L5:L8)</f>
        <v>-0.936763842107635</v>
      </c>
      <c r="L8" s="16">
        <f>('Cashflow'!D8+'Cashflow'!F8-'Cashflow'!C8)/'Cashflow'!C8</f>
        <v>-0.983636805049769</v>
      </c>
    </row>
    <row r="9" ht="20.05" customHeight="1">
      <c r="B9" s="31"/>
      <c r="C9" s="17">
        <v>14598.8</v>
      </c>
      <c r="D9" s="21"/>
      <c r="E9" s="18">
        <v>494.2</v>
      </c>
      <c r="F9" s="18">
        <v>108</v>
      </c>
      <c r="G9" s="18">
        <v>16.6</v>
      </c>
      <c r="H9" s="18">
        <f>AVERAGE(G6:G9)</f>
        <v>124.1</v>
      </c>
      <c r="I9" s="16">
        <f>C9/C8-1</f>
        <v>0.189660511433088</v>
      </c>
      <c r="J9" s="16">
        <f>(E9+G9+F9-C9)/C9</f>
        <v>-0.95761295448941</v>
      </c>
      <c r="K9" s="16">
        <f>AVERAGE(L6:L9)</f>
        <v>-0.946000512378256</v>
      </c>
      <c r="L9" s="16">
        <f>('Cashflow'!D9+'Cashflow'!F9-'Cashflow'!C9)/'Cashflow'!C9</f>
        <v>-0.993725107352307</v>
      </c>
    </row>
    <row r="10" ht="20.05" customHeight="1">
      <c r="B10" s="31"/>
      <c r="C10" s="17">
        <v>14503.3</v>
      </c>
      <c r="D10" s="21"/>
      <c r="E10" s="18">
        <v>520.1</v>
      </c>
      <c r="F10" s="18">
        <v>108</v>
      </c>
      <c r="G10" s="18">
        <v>254.3</v>
      </c>
      <c r="H10" s="18">
        <f>AVERAGE(G7:G10)</f>
        <v>144.45</v>
      </c>
      <c r="I10" s="16">
        <f>C10/C9-1</f>
        <v>-0.00654163355892265</v>
      </c>
      <c r="J10" s="16">
        <f>(E10+G10+F10-C10)/C10</f>
        <v>-0.939158674232761</v>
      </c>
      <c r="K10" s="16">
        <f>AVERAGE(L7:L10)</f>
        <v>-0.962422772763364</v>
      </c>
      <c r="L10" s="16">
        <f>('Cashflow'!D10+'Cashflow'!F10-'Cashflow'!C10)/'Cashflow'!C10</f>
        <v>-0.983147853736089</v>
      </c>
    </row>
    <row r="11" ht="20.05" customHeight="1">
      <c r="B11" s="31"/>
      <c r="C11" s="17">
        <v>14733.5</v>
      </c>
      <c r="D11" s="21"/>
      <c r="E11" s="18">
        <v>555.9</v>
      </c>
      <c r="F11" s="18">
        <v>108</v>
      </c>
      <c r="G11" s="18">
        <v>216.4</v>
      </c>
      <c r="H11" s="18">
        <f>AVERAGE(G8:G11)</f>
        <v>138.45</v>
      </c>
      <c r="I11" s="16">
        <f>C11/C10-1</f>
        <v>0.0158722497638468</v>
      </c>
      <c r="J11" s="16">
        <f>(E11+G11+F11-C11)/C11</f>
        <v>-0.940251807106254</v>
      </c>
      <c r="K11" s="16">
        <f>AVERAGE(L8:L11)</f>
        <v>-0.972073187837651</v>
      </c>
      <c r="L11" s="16">
        <f>('Cashflow'!D11+'Cashflow'!F11-'Cashflow'!C11)/'Cashflow'!C11</f>
        <v>-0.92778298521244</v>
      </c>
    </row>
    <row r="12" ht="20.05" customHeight="1">
      <c r="B12" s="32">
        <v>2017</v>
      </c>
      <c r="C12" s="17">
        <v>13762.6</v>
      </c>
      <c r="D12" s="21"/>
      <c r="E12" s="18">
        <v>570.9</v>
      </c>
      <c r="F12" s="18">
        <v>86</v>
      </c>
      <c r="G12" s="18">
        <v>46.3</v>
      </c>
      <c r="H12" s="18">
        <f>AVERAGE(G9:G12)</f>
        <v>133.4</v>
      </c>
      <c r="I12" s="16">
        <f>C12/C11-1</f>
        <v>-0.065897444599043</v>
      </c>
      <c r="J12" s="16">
        <f>(E12+G12+F12-C12)/C12</f>
        <v>-0.948905003415052</v>
      </c>
      <c r="K12" s="16">
        <f>AVERAGE(L9:L12)</f>
        <v>-0.973412442804777</v>
      </c>
      <c r="L12" s="16">
        <f>('Cashflow'!D12+'Cashflow'!F12-'Cashflow'!C12)/'Cashflow'!C12</f>
        <v>-0.988993824918271</v>
      </c>
    </row>
    <row r="13" ht="20.05" customHeight="1">
      <c r="B13" s="31"/>
      <c r="C13" s="17">
        <v>16756.1</v>
      </c>
      <c r="D13" s="21"/>
      <c r="E13" s="18">
        <v>586.4</v>
      </c>
      <c r="F13" s="18">
        <v>86</v>
      </c>
      <c r="G13" s="18">
        <v>-7.5</v>
      </c>
      <c r="H13" s="18">
        <f>AVERAGE(G10:G13)</f>
        <v>127.375</v>
      </c>
      <c r="I13" s="16">
        <f>C13/C12-1</f>
        <v>0.217509772862686</v>
      </c>
      <c r="J13" s="16">
        <f>(E13+G13+F13-C13)/C13</f>
        <v>-0.9603189286289771</v>
      </c>
      <c r="K13" s="16">
        <f>AVERAGE(L10:L13)</f>
        <v>-0.957933970134644</v>
      </c>
      <c r="L13" s="16">
        <f>('Cashflow'!D13+'Cashflow'!F13-'Cashflow'!C13)/'Cashflow'!C13</f>
        <v>-0.931811216671774</v>
      </c>
    </row>
    <row r="14" ht="20.05" customHeight="1">
      <c r="B14" s="31"/>
      <c r="C14" s="17">
        <v>15086.5</v>
      </c>
      <c r="D14" s="21"/>
      <c r="E14" s="18">
        <v>612.7</v>
      </c>
      <c r="F14" s="18">
        <v>86</v>
      </c>
      <c r="G14" s="18">
        <v>8.9</v>
      </c>
      <c r="H14" s="18">
        <f>AVERAGE(G11:G14)</f>
        <v>66.02500000000001</v>
      </c>
      <c r="I14" s="16">
        <f>C14/C13-1</f>
        <v>-0.0996413246519178</v>
      </c>
      <c r="J14" s="16">
        <f>(E14+G14+F14-C14)/C14</f>
        <v>-0.953097139826998</v>
      </c>
      <c r="K14" s="16">
        <f>AVERAGE(L11:L14)</f>
        <v>-0.966160106489814</v>
      </c>
      <c r="L14" s="16">
        <f>('Cashflow'!D14+'Cashflow'!F14-'Cashflow'!C14)/'Cashflow'!C14</f>
        <v>-1.01605239915677</v>
      </c>
    </row>
    <row r="15" ht="20.05" customHeight="1">
      <c r="B15" s="31"/>
      <c r="C15" s="17">
        <v>15859.7</v>
      </c>
      <c r="D15" s="21"/>
      <c r="E15" s="18">
        <v>631.9</v>
      </c>
      <c r="F15" s="18">
        <v>86</v>
      </c>
      <c r="G15" s="18">
        <v>210</v>
      </c>
      <c r="H15" s="18">
        <f>AVERAGE(G12:G15)</f>
        <v>64.425</v>
      </c>
      <c r="I15" s="16">
        <f>C15/C14-1</f>
        <v>0.0512511185496967</v>
      </c>
      <c r="J15" s="16">
        <f>(E15+G15+F15-C15)/C15</f>
        <v>-0.941493218661135</v>
      </c>
      <c r="K15" s="16">
        <f>AVERAGE(L12:L15)</f>
        <v>-0.9577629240422481</v>
      </c>
      <c r="L15" s="16">
        <f>('Cashflow'!D15+'Cashflow'!F15-'Cashflow'!C15)/'Cashflow'!C15</f>
        <v>-0.894194255422178</v>
      </c>
    </row>
    <row r="16" ht="20.05" customHeight="1">
      <c r="B16" s="32">
        <v>2018</v>
      </c>
      <c r="C16" s="17">
        <v>14675.4</v>
      </c>
      <c r="D16" s="21"/>
      <c r="E16" s="18">
        <v>638.1</v>
      </c>
      <c r="F16" s="18">
        <v>437</v>
      </c>
      <c r="G16" s="18">
        <v>122.7</v>
      </c>
      <c r="H16" s="18">
        <f>AVERAGE(G13:G16)</f>
        <v>83.52500000000001</v>
      </c>
      <c r="I16" s="16">
        <f>C16/C15-1</f>
        <v>-0.074673543635756</v>
      </c>
      <c r="J16" s="16">
        <f>(E16+G16+F16-C16)/C16</f>
        <v>-0.918380418932363</v>
      </c>
      <c r="K16" s="16">
        <f>AVERAGE(L13:L16)</f>
        <v>-0.950718763255321</v>
      </c>
      <c r="L16" s="16">
        <f>('Cashflow'!D16+'Cashflow'!F16-'Cashflow'!C16)/'Cashflow'!C16</f>
        <v>-0.960817181770561</v>
      </c>
    </row>
    <row r="17" ht="20.05" customHeight="1">
      <c r="B17" s="31"/>
      <c r="C17" s="17">
        <v>18138.1</v>
      </c>
      <c r="D17" s="21"/>
      <c r="E17" s="18">
        <v>651</v>
      </c>
      <c r="F17" s="18">
        <v>437</v>
      </c>
      <c r="G17" s="18">
        <v>101.3</v>
      </c>
      <c r="H17" s="18">
        <f>AVERAGE(G14:G17)</f>
        <v>110.725</v>
      </c>
      <c r="I17" s="16">
        <f>C17/C16-1</f>
        <v>0.235952682720744</v>
      </c>
      <c r="J17" s="16">
        <f>(E17+G17+F17-C17)/C17</f>
        <v>-0.934430838952261</v>
      </c>
      <c r="K17" s="16">
        <f>AVERAGE(L14:L17)</f>
        <v>-0.942063852768421</v>
      </c>
      <c r="L17" s="16">
        <f>('Cashflow'!D17+'Cashflow'!F17-'Cashflow'!C17)/'Cashflow'!C17</f>
        <v>-0.897191574724173</v>
      </c>
    </row>
    <row r="18" ht="20.05" customHeight="1">
      <c r="B18" s="31"/>
      <c r="C18" s="17">
        <v>16791.5</v>
      </c>
      <c r="D18" s="21"/>
      <c r="E18" s="18">
        <v>647.8</v>
      </c>
      <c r="F18" s="18">
        <v>437</v>
      </c>
      <c r="G18" s="18">
        <v>120.5</v>
      </c>
      <c r="H18" s="18">
        <f>AVERAGE(G15:G18)</f>
        <v>138.625</v>
      </c>
      <c r="I18" s="16">
        <f>C18/C17-1</f>
        <v>-0.0742415137197391</v>
      </c>
      <c r="J18" s="16">
        <f>(E18+G18+F18-C18)/C18</f>
        <v>-0.928219634934342</v>
      </c>
      <c r="K18" s="16">
        <f>AVERAGE(L15:L18)</f>
        <v>-0.922185737902069</v>
      </c>
      <c r="L18" s="16">
        <f>('Cashflow'!D18+'Cashflow'!F18-'Cashflow'!C18)/'Cashflow'!C18</f>
        <v>-0.936539939691362</v>
      </c>
    </row>
    <row r="19" ht="20.05" customHeight="1">
      <c r="B19" s="31"/>
      <c r="C19" s="17">
        <v>17212</v>
      </c>
      <c r="D19" s="21"/>
      <c r="E19" s="18">
        <v>690.2</v>
      </c>
      <c r="F19" s="18">
        <v>437</v>
      </c>
      <c r="G19" s="18">
        <v>323.5</v>
      </c>
      <c r="H19" s="18">
        <f>AVERAGE(G16:G19)</f>
        <v>167</v>
      </c>
      <c r="I19" s="16">
        <f>C19/C18-1</f>
        <v>0.0250424321829497</v>
      </c>
      <c r="J19" s="16">
        <f>(E19+G19+F19-C19)/C19</f>
        <v>-0.915715779688589</v>
      </c>
      <c r="K19" s="16">
        <f>AVERAGE(L16:L19)</f>
        <v>-0.923489741529863</v>
      </c>
      <c r="L19" s="16">
        <f>('Cashflow'!D19+'Cashflow'!F19-'Cashflow'!C19)/'Cashflow'!C19</f>
        <v>-0.899410269933356</v>
      </c>
    </row>
    <row r="20" ht="20.05" customHeight="1">
      <c r="B20" s="32">
        <v>2019</v>
      </c>
      <c r="C20" s="17">
        <v>16715.7</v>
      </c>
      <c r="D20" s="21"/>
      <c r="E20" s="18">
        <v>654.9</v>
      </c>
      <c r="F20" s="18">
        <v>284.75</v>
      </c>
      <c r="G20" s="18">
        <v>204.7</v>
      </c>
      <c r="H20" s="18">
        <f>AVERAGE(G17:G20)</f>
        <v>187.5</v>
      </c>
      <c r="I20" s="16">
        <f>C20/C19-1</f>
        <v>-0.0288345340460144</v>
      </c>
      <c r="J20" s="16">
        <f>(E20+G20+F20-C20)/C20</f>
        <v>-0.931540408119313</v>
      </c>
      <c r="K20" s="16">
        <f>AVERAGE(L17:L20)</f>
        <v>-0.931237936508679</v>
      </c>
      <c r="L20" s="16">
        <f>('Cashflow'!D20+'Cashflow'!F20-'Cashflow'!C20)/'Cashflow'!C20</f>
        <v>-0.991809961685824</v>
      </c>
    </row>
    <row r="21" ht="20.05" customHeight="1">
      <c r="B21" s="31"/>
      <c r="C21" s="17">
        <v>19441.3</v>
      </c>
      <c r="D21" s="21"/>
      <c r="E21" s="18">
        <v>715.9</v>
      </c>
      <c r="F21" s="18">
        <v>284.75</v>
      </c>
      <c r="G21" s="18">
        <v>206.3</v>
      </c>
      <c r="H21" s="18">
        <f>AVERAGE(G18:G21)</f>
        <v>213.75</v>
      </c>
      <c r="I21" s="16">
        <f>C21/C20-1</f>
        <v>0.163056288399529</v>
      </c>
      <c r="J21" s="16">
        <f>(E21+G21+F21-C21)/C21</f>
        <v>-0.9379182462078151</v>
      </c>
      <c r="K21" s="16">
        <f>AVERAGE(L18:L21)</f>
        <v>-0.945470230900938</v>
      </c>
      <c r="L21" s="16">
        <f>('Cashflow'!D21+'Cashflow'!F21-'Cashflow'!C21)/'Cashflow'!C21</f>
        <v>-0.95412075229321</v>
      </c>
    </row>
    <row r="22" ht="20.05" customHeight="1">
      <c r="B22" s="31"/>
      <c r="C22" s="17">
        <v>17953.9</v>
      </c>
      <c r="D22" s="21"/>
      <c r="E22" s="18">
        <v>679.8</v>
      </c>
      <c r="F22" s="18">
        <v>284.75</v>
      </c>
      <c r="G22" s="18">
        <v>256.7</v>
      </c>
      <c r="H22" s="18">
        <f>AVERAGE(G19:G22)</f>
        <v>247.8</v>
      </c>
      <c r="I22" s="16">
        <f>C22/C21-1</f>
        <v>-0.0765072294548204</v>
      </c>
      <c r="J22" s="16">
        <f>(E22+G22+F22-C22)/C22</f>
        <v>-0.931978567330775</v>
      </c>
      <c r="K22" s="16">
        <f>AVERAGE(L19:L22)</f>
        <v>-0.928652384229857</v>
      </c>
      <c r="L22" s="16">
        <f>('Cashflow'!D22+'Cashflow'!F22-'Cashflow'!C22)/'Cashflow'!C22</f>
        <v>-0.869268553007036</v>
      </c>
    </row>
    <row r="23" ht="20.05" customHeight="1">
      <c r="B23" s="31"/>
      <c r="C23" s="17">
        <v>18834.1</v>
      </c>
      <c r="D23" s="21"/>
      <c r="E23" s="18">
        <v>630.4</v>
      </c>
      <c r="F23" s="18">
        <v>284.75</v>
      </c>
      <c r="G23" s="18">
        <v>471.3</v>
      </c>
      <c r="H23" s="18">
        <f>AVERAGE(G20:G23)</f>
        <v>284.75</v>
      </c>
      <c r="I23" s="16">
        <f>C23/C22-1</f>
        <v>0.0490255599062042</v>
      </c>
      <c r="J23" s="16">
        <f>(E23+G23+F23-C23)/C23</f>
        <v>-0.926386182509385</v>
      </c>
      <c r="K23" s="16">
        <f>AVERAGE(L20:L23)</f>
        <v>-0.933079763801448</v>
      </c>
      <c r="L23" s="16">
        <f>('Cashflow'!D23+'Cashflow'!F23-'Cashflow'!C23)/'Cashflow'!C23</f>
        <v>-0.917119788219722</v>
      </c>
    </row>
    <row r="24" ht="20.05" customHeight="1">
      <c r="B24" s="32">
        <v>2020</v>
      </c>
      <c r="C24" s="17">
        <v>19335</v>
      </c>
      <c r="D24" s="21"/>
      <c r="E24" s="18">
        <v>693</v>
      </c>
      <c r="F24" s="18">
        <v>647.25</v>
      </c>
      <c r="G24" s="18">
        <v>356</v>
      </c>
      <c r="H24" s="18">
        <f>AVERAGE(G21:G24)</f>
        <v>322.575</v>
      </c>
      <c r="I24" s="16">
        <f>C24/C23-1</f>
        <v>0.026595377533304</v>
      </c>
      <c r="J24" s="16">
        <f>(E24+G24+F24-C24)/C24</f>
        <v>-0.912270493922938</v>
      </c>
      <c r="K24" s="16">
        <f>AVERAGE(L21:L24)</f>
        <v>-0.91375754666203</v>
      </c>
      <c r="L24" s="16">
        <f>('Cashflow'!D24+'Cashflow'!F24-'Cashflow'!C24)/'Cashflow'!C24</f>
        <v>-0.914521093128151</v>
      </c>
    </row>
    <row r="25" ht="20.05" customHeight="1">
      <c r="B25" s="31"/>
      <c r="C25" s="17">
        <v>18750</v>
      </c>
      <c r="D25" s="18">
        <v>19830.126</v>
      </c>
      <c r="E25" s="18">
        <v>714</v>
      </c>
      <c r="F25" s="18">
        <v>647.25</v>
      </c>
      <c r="G25" s="18">
        <v>152</v>
      </c>
      <c r="H25" s="18">
        <f>AVERAGE(G22:G25)</f>
        <v>309</v>
      </c>
      <c r="I25" s="16">
        <f>C25/C24-1</f>
        <v>-0.030256012412723</v>
      </c>
      <c r="J25" s="16">
        <f>(E25+G25+F25-C25)/C25</f>
        <v>-0.919293333333333</v>
      </c>
      <c r="K25" s="16">
        <f>AVERAGE(L22:L25)</f>
        <v>-0.947043347112462</v>
      </c>
      <c r="L25" s="16">
        <f>('Cashflow'!D25+'Cashflow'!F25-'Cashflow'!C25)/'Cashflow'!C25</f>
        <v>-1.08726395409494</v>
      </c>
    </row>
    <row r="26" ht="20.05" customHeight="1">
      <c r="B26" s="31"/>
      <c r="C26" s="17">
        <f>56369-SUM(C24:C25)</f>
        <v>18284</v>
      </c>
      <c r="D26" s="18">
        <v>19210.673</v>
      </c>
      <c r="E26" s="18">
        <f>2135-SUM(E24:E25)</f>
        <v>728</v>
      </c>
      <c r="F26" s="18">
        <v>647.25</v>
      </c>
      <c r="G26" s="18">
        <f>659-SUM(G24:G25)</f>
        <v>151</v>
      </c>
      <c r="H26" s="18">
        <f>AVERAGE(G23:G26)</f>
        <v>282.575</v>
      </c>
      <c r="I26" s="16">
        <f>C26/C25-1</f>
        <v>-0.0248533333333333</v>
      </c>
      <c r="J26" s="16">
        <f>(E26+G26+F26-C26)/C26</f>
        <v>-0.916525377379129</v>
      </c>
      <c r="K26" s="16">
        <f>AVERAGE(L23:L26)</f>
        <v>-0.927204853115319</v>
      </c>
      <c r="L26" s="16">
        <f>('Cashflow'!D26+'Cashflow'!F26-'Cashflow'!C26)/'Cashflow'!C26</f>
        <v>-0.789914577018462</v>
      </c>
    </row>
    <row r="27" ht="20.05" customHeight="1">
      <c r="B27" s="31"/>
      <c r="C27" s="17">
        <v>19458</v>
      </c>
      <c r="D27" s="18">
        <v>19198.2</v>
      </c>
      <c r="E27" s="18">
        <v>760</v>
      </c>
      <c r="F27" s="18">
        <v>647.25</v>
      </c>
      <c r="G27" s="18">
        <v>430</v>
      </c>
      <c r="H27" s="18">
        <f>AVERAGE(G24:G27)</f>
        <v>272.25</v>
      </c>
      <c r="I27" s="16">
        <f>C27/C26-1</f>
        <v>0.06420914460730689</v>
      </c>
      <c r="J27" s="16">
        <f>(E27+G27+F27-C27)/C27</f>
        <v>-0.905578682290061</v>
      </c>
      <c r="K27" s="16">
        <f>AVERAGE(L24:L27)</f>
        <v>-0.915740250663769</v>
      </c>
      <c r="L27" s="16">
        <f>('Cashflow'!D27+'Cashflow'!F27-'Cashflow'!C27)/'Cashflow'!C27</f>
        <v>-0.871261378413524</v>
      </c>
    </row>
    <row r="28" ht="20.05" customHeight="1">
      <c r="B28" s="32">
        <v>2021</v>
      </c>
      <c r="C28" s="17">
        <v>19239.2</v>
      </c>
      <c r="D28" s="18">
        <v>19458</v>
      </c>
      <c r="E28" s="18">
        <v>760.4</v>
      </c>
      <c r="F28" s="33">
        <v>293.798</v>
      </c>
      <c r="G28" s="21">
        <v>507</v>
      </c>
      <c r="H28" s="18">
        <f>AVERAGE(G25:G28)</f>
        <v>310</v>
      </c>
      <c r="I28" s="16">
        <f>C28/C27-1</f>
        <v>-0.0112447322438072</v>
      </c>
      <c r="J28" s="16">
        <f>(E28+G28+F28-C28)/C28</f>
        <v>-0.918853278722608</v>
      </c>
      <c r="K28" s="16">
        <f>AVERAGE(L25:L28)</f>
        <v>-0.926129977381732</v>
      </c>
      <c r="L28" s="16">
        <f>('Cashflow'!D28+'Cashflow'!F28-'Cashflow'!C28)/'Cashflow'!C28</f>
        <v>-0.95608</v>
      </c>
    </row>
    <row r="29" ht="20.05" customHeight="1">
      <c r="B29" s="31"/>
      <c r="C29" s="17">
        <f>42035.9-C28</f>
        <v>22796.7</v>
      </c>
      <c r="D29" s="18">
        <v>22509.864</v>
      </c>
      <c r="E29" s="18">
        <f>1530.4-E28</f>
        <v>770</v>
      </c>
      <c r="F29" s="33">
        <v>293.798</v>
      </c>
      <c r="G29" s="33">
        <f>876.2-G28</f>
        <v>369.2</v>
      </c>
      <c r="H29" s="18">
        <f>AVERAGE(G26:G29)</f>
        <v>364.3</v>
      </c>
      <c r="I29" s="16">
        <f>C29/C28-1</f>
        <v>0.184908935922492</v>
      </c>
      <c r="J29" s="16">
        <f>(E29+G29+F29-C29)/C29</f>
        <v>-0.937140112384687</v>
      </c>
      <c r="K29" s="16">
        <f>AVERAGE(L26:L29)</f>
        <v>-0.891216706240105</v>
      </c>
      <c r="L29" s="16">
        <f>('Cashflow'!D29+'Cashflow'!F29-'Cashflow'!C29)/'Cashflow'!C29</f>
        <v>-0.947610869528434</v>
      </c>
    </row>
    <row r="30" ht="20.05" customHeight="1">
      <c r="B30" s="31"/>
      <c r="C30" s="17">
        <f>63174.1-SUM(C28:C29)</f>
        <v>21138.2</v>
      </c>
      <c r="D30" s="18">
        <v>22112.799</v>
      </c>
      <c r="E30" s="18">
        <f>2316.1-SUM(E28:E29)</f>
        <v>785.7</v>
      </c>
      <c r="F30" s="18">
        <v>293.798</v>
      </c>
      <c r="G30" s="18">
        <f>1139-SUM(G28:G29)</f>
        <v>262.8</v>
      </c>
      <c r="H30" s="18">
        <f>AVERAGE(G27:G30)</f>
        <v>392.25</v>
      </c>
      <c r="I30" s="16">
        <f>C30/C29-1</f>
        <v>-0.0727517579298758</v>
      </c>
      <c r="J30" s="16">
        <f>(E30+G30+F30-C30)/C30</f>
        <v>-0.936498945037893</v>
      </c>
      <c r="K30" s="16">
        <f>AVERAGE(L27:L30)</f>
        <v>-0.920919936774563</v>
      </c>
      <c r="L30" s="16">
        <f>('Cashflow'!D30+'Cashflow'!F30-'Cashflow'!C30)/'Cashflow'!C30</f>
        <v>-0.908727499156293</v>
      </c>
    </row>
    <row r="31" ht="20.05" customHeight="1">
      <c r="B31" s="31"/>
      <c r="C31" s="17"/>
      <c r="D31" s="18">
        <f>'Model'!C6</f>
        <v>21772.346</v>
      </c>
      <c r="E31" s="21"/>
      <c r="F31" s="18"/>
      <c r="G31" s="18"/>
      <c r="H31" s="33">
        <f>'Model'!F23</f>
        <v>391.456615893129</v>
      </c>
      <c r="I31" s="12"/>
      <c r="J31" s="16">
        <f>'Model'!C7</f>
        <v>-0.928709440906228</v>
      </c>
      <c r="K31" s="22"/>
      <c r="L31" s="16"/>
    </row>
    <row r="32" ht="20.05" customHeight="1">
      <c r="B32" s="31"/>
      <c r="C32" s="17"/>
      <c r="D32" s="18">
        <f>'Model'!D6</f>
        <v>21336.89908</v>
      </c>
      <c r="E32" s="21"/>
      <c r="F32" s="21"/>
      <c r="G32" s="21"/>
      <c r="H32" s="33"/>
      <c r="I32" s="12"/>
      <c r="J32" s="12"/>
      <c r="K32" s="12"/>
      <c r="L32" s="12"/>
    </row>
    <row r="33" ht="20.05" customHeight="1">
      <c r="B33" s="32">
        <v>2022</v>
      </c>
      <c r="C33" s="17"/>
      <c r="D33" s="18">
        <f>'Model'!E6</f>
        <v>24964.1719236</v>
      </c>
      <c r="E33" s="21"/>
      <c r="F33" s="21"/>
      <c r="G33" s="21"/>
      <c r="H33" s="33"/>
      <c r="I33" s="12"/>
      <c r="J33" s="12"/>
      <c r="K33" s="12"/>
      <c r="L33" s="12"/>
    </row>
    <row r="34" ht="20.05" customHeight="1">
      <c r="B34" s="31"/>
      <c r="C34" s="17"/>
      <c r="D34" s="18">
        <f>'Model'!F6</f>
        <v>23466.321608184</v>
      </c>
      <c r="E34" s="21"/>
      <c r="F34" s="21"/>
      <c r="G34" s="21"/>
      <c r="H34" s="33"/>
      <c r="I34" s="12"/>
      <c r="J34" s="12"/>
      <c r="K34" s="12"/>
      <c r="L34" s="12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85938" style="34" customWidth="1"/>
    <col min="2" max="2" width="7.60938" style="34" customWidth="1"/>
    <col min="3" max="3" width="12.5156" style="34" customWidth="1"/>
    <col min="4" max="4" width="10.1719" style="34" customWidth="1"/>
    <col min="5" max="5" width="11.7344" style="34" customWidth="1"/>
    <col min="6" max="7" width="10.1719" style="34" customWidth="1"/>
    <col min="8" max="13" width="10.9922" style="34" customWidth="1"/>
    <col min="14" max="16384" width="16.3516" style="34" customWidth="1"/>
  </cols>
  <sheetData>
    <row r="1" ht="41.1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4">
        <v>44</v>
      </c>
      <c r="C3" t="s" s="4">
        <v>50</v>
      </c>
      <c r="D3" t="s" s="4">
        <v>51</v>
      </c>
      <c r="E3" t="s" s="4">
        <v>52</v>
      </c>
      <c r="F3" t="s" s="4">
        <v>53</v>
      </c>
      <c r="G3" t="s" s="4">
        <v>10</v>
      </c>
      <c r="H3" t="s" s="4">
        <v>12</v>
      </c>
      <c r="I3" t="s" s="4">
        <v>54</v>
      </c>
      <c r="J3" t="s" s="4">
        <v>11</v>
      </c>
      <c r="K3" t="s" s="4">
        <v>55</v>
      </c>
      <c r="L3" t="s" s="4">
        <v>3</v>
      </c>
      <c r="M3" t="s" s="4">
        <v>30</v>
      </c>
    </row>
    <row r="4" ht="20.25" customHeight="1">
      <c r="B4" s="25">
        <v>2015</v>
      </c>
      <c r="C4" s="35">
        <v>10334.5</v>
      </c>
      <c r="D4" s="28">
        <v>32.3</v>
      </c>
      <c r="E4" s="28">
        <v>-606</v>
      </c>
      <c r="F4" s="28">
        <v>-183</v>
      </c>
      <c r="G4" s="28"/>
      <c r="H4" s="28"/>
      <c r="I4" s="28"/>
      <c r="J4" s="28">
        <v>513.8</v>
      </c>
      <c r="K4" s="28">
        <f>F4+D4+E4+G4</f>
        <v>-756.7</v>
      </c>
      <c r="L4" s="8"/>
      <c r="M4" s="27">
        <f>-(J4-F4-G4)</f>
        <v>-696.8</v>
      </c>
    </row>
    <row r="5" ht="20.05" customHeight="1">
      <c r="B5" s="31"/>
      <c r="C5" s="13">
        <v>11873.7</v>
      </c>
      <c r="D5" s="18">
        <v>610.2</v>
      </c>
      <c r="E5" s="18">
        <v>-812.3</v>
      </c>
      <c r="F5" s="18">
        <v>-97</v>
      </c>
      <c r="G5" s="18"/>
      <c r="H5" s="18"/>
      <c r="I5" s="18"/>
      <c r="J5" s="18">
        <v>201.9</v>
      </c>
      <c r="K5" s="18">
        <f>F5+D5+E5+G5</f>
        <v>-299.1</v>
      </c>
      <c r="L5" s="22"/>
      <c r="M5" s="21">
        <f>-(J5-F5-G5)+M4</f>
        <v>-995.7</v>
      </c>
    </row>
    <row r="6" ht="20.05" customHeight="1">
      <c r="B6" s="31"/>
      <c r="C6" s="13">
        <v>13286.7</v>
      </c>
      <c r="D6" s="18">
        <v>1216.7</v>
      </c>
      <c r="E6" s="18">
        <v>-750</v>
      </c>
      <c r="F6" s="18">
        <v>-120</v>
      </c>
      <c r="G6" s="18"/>
      <c r="H6" s="18"/>
      <c r="I6" s="18"/>
      <c r="J6" s="18">
        <v>-233</v>
      </c>
      <c r="K6" s="18">
        <f>F6+D6+E6+G6</f>
        <v>346.7</v>
      </c>
      <c r="L6" s="22"/>
      <c r="M6" s="21">
        <f>-(J6-F6-G6)+M5</f>
        <v>-882.7</v>
      </c>
    </row>
    <row r="7" ht="20.05" customHeight="1">
      <c r="B7" s="31"/>
      <c r="C7" s="13">
        <v>12956.3</v>
      </c>
      <c r="D7" s="18">
        <v>1551.8</v>
      </c>
      <c r="E7" s="18">
        <v>-928.1</v>
      </c>
      <c r="F7" s="18">
        <v>-116</v>
      </c>
      <c r="G7" s="18"/>
      <c r="H7" s="18"/>
      <c r="I7" s="18"/>
      <c r="J7" s="18">
        <v>-559.7</v>
      </c>
      <c r="K7" s="18">
        <f>F7+D7+E7+G7</f>
        <v>507.7</v>
      </c>
      <c r="L7" s="22"/>
      <c r="M7" s="21">
        <f>-(J7-F7-G7)+M6</f>
        <v>-439</v>
      </c>
    </row>
    <row r="8" ht="20.05" customHeight="1">
      <c r="B8" s="32">
        <v>2016</v>
      </c>
      <c r="C8" s="13">
        <v>12357</v>
      </c>
      <c r="D8" s="18">
        <v>309.2</v>
      </c>
      <c r="E8" s="18">
        <v>-778</v>
      </c>
      <c r="F8" s="18">
        <v>-107</v>
      </c>
      <c r="G8" s="18"/>
      <c r="H8" s="18"/>
      <c r="I8" s="18"/>
      <c r="J8" s="18">
        <v>58.3</v>
      </c>
      <c r="K8" s="18">
        <f>F8+D8+E8+G8</f>
        <v>-575.8</v>
      </c>
      <c r="L8" s="18">
        <f>AVERAGE(K5:K8)</f>
        <v>-5.125</v>
      </c>
      <c r="M8" s="21">
        <f>-(J8-F8-G8)+M7</f>
        <v>-604.3</v>
      </c>
    </row>
    <row r="9" ht="20.05" customHeight="1">
      <c r="B9" s="31"/>
      <c r="C9" s="13">
        <v>14135.7</v>
      </c>
      <c r="D9" s="18">
        <v>210.7</v>
      </c>
      <c r="E9" s="18">
        <v>-1255.6</v>
      </c>
      <c r="F9" s="18">
        <v>-122</v>
      </c>
      <c r="G9" s="18"/>
      <c r="H9" s="18"/>
      <c r="I9" s="18"/>
      <c r="J9" s="18">
        <v>1582.9</v>
      </c>
      <c r="K9" s="18">
        <f>F9+D9+E9+G9</f>
        <v>-1166.9</v>
      </c>
      <c r="L9" s="18">
        <f>AVERAGE(K6:K9)</f>
        <v>-222.075</v>
      </c>
      <c r="M9" s="21">
        <f>-(J9-F9-G9)+M8</f>
        <v>-2309.2</v>
      </c>
    </row>
    <row r="10" ht="20.05" customHeight="1">
      <c r="B10" s="31"/>
      <c r="C10" s="13">
        <v>14781.5</v>
      </c>
      <c r="D10" s="18">
        <v>384.1</v>
      </c>
      <c r="E10" s="18">
        <v>-726.4</v>
      </c>
      <c r="F10" s="18">
        <v>-135</v>
      </c>
      <c r="G10" s="18"/>
      <c r="H10" s="18"/>
      <c r="I10" s="18"/>
      <c r="J10" s="18">
        <v>67.5</v>
      </c>
      <c r="K10" s="18">
        <f>F10+D10+E10+G10</f>
        <v>-477.3</v>
      </c>
      <c r="L10" s="18">
        <f>AVERAGE(K7:K10)</f>
        <v>-428.075</v>
      </c>
      <c r="M10" s="21">
        <f>-(J10-F10-G10)+M9</f>
        <v>-2511.7</v>
      </c>
    </row>
    <row r="11" ht="20.05" customHeight="1">
      <c r="B11" s="31"/>
      <c r="C11" s="13">
        <v>14295.8</v>
      </c>
      <c r="D11" s="18">
        <v>1193.4</v>
      </c>
      <c r="E11" s="18">
        <v>-1300</v>
      </c>
      <c r="F11" s="18">
        <v>-161</v>
      </c>
      <c r="G11" s="18"/>
      <c r="H11" s="18"/>
      <c r="I11" s="18"/>
      <c r="J11" s="18">
        <v>425.7</v>
      </c>
      <c r="K11" s="18">
        <f>F11+D11+E11+G11</f>
        <v>-267.6</v>
      </c>
      <c r="L11" s="18">
        <f>AVERAGE(K8:K11)</f>
        <v>-621.9</v>
      </c>
      <c r="M11" s="21">
        <f>-(J11-F11-G11)+M10</f>
        <v>-3098.4</v>
      </c>
    </row>
    <row r="12" ht="20.05" customHeight="1">
      <c r="B12" s="32">
        <v>2017</v>
      </c>
      <c r="C12" s="13">
        <v>13765</v>
      </c>
      <c r="D12" s="18">
        <v>298.5</v>
      </c>
      <c r="E12" s="18">
        <v>-946.7</v>
      </c>
      <c r="F12" s="18">
        <v>-147</v>
      </c>
      <c r="G12" s="18"/>
      <c r="H12" s="18"/>
      <c r="I12" s="18"/>
      <c r="J12" s="18">
        <v>289.7</v>
      </c>
      <c r="K12" s="18">
        <f>F12+D12+E12+G12</f>
        <v>-795.2</v>
      </c>
      <c r="L12" s="18">
        <f>AVERAGE(K9:K12)</f>
        <v>-676.75</v>
      </c>
      <c r="M12" s="21">
        <f>-(J12-F12-G12)+M11</f>
        <v>-3535.1</v>
      </c>
    </row>
    <row r="13" ht="20.05" customHeight="1">
      <c r="B13" s="31"/>
      <c r="C13" s="13">
        <v>16315</v>
      </c>
      <c r="D13" s="18">
        <v>1277.5</v>
      </c>
      <c r="E13" s="18">
        <v>-1096.9</v>
      </c>
      <c r="F13" s="18">
        <v>-165</v>
      </c>
      <c r="G13" s="18"/>
      <c r="H13" s="18"/>
      <c r="I13" s="18"/>
      <c r="J13" s="18">
        <v>1361.3</v>
      </c>
      <c r="K13" s="18">
        <f>F13+D13+E13+G13</f>
        <v>15.6</v>
      </c>
      <c r="L13" s="18">
        <f>AVERAGE(K10:K13)</f>
        <v>-381.125</v>
      </c>
      <c r="M13" s="21">
        <f>-(J13-F13-G13)+M12</f>
        <v>-5061.4</v>
      </c>
    </row>
    <row r="14" ht="20.05" customHeight="1">
      <c r="B14" s="31"/>
      <c r="C14" s="13">
        <v>15511.7</v>
      </c>
      <c r="D14" s="18">
        <v>-75</v>
      </c>
      <c r="E14" s="18">
        <v>-847.4</v>
      </c>
      <c r="F14" s="18">
        <v>-174</v>
      </c>
      <c r="G14" s="18"/>
      <c r="H14" s="18"/>
      <c r="I14" s="18"/>
      <c r="J14" s="18">
        <v>-481</v>
      </c>
      <c r="K14" s="18">
        <f>F14+D14+E14+G14</f>
        <v>-1096.4</v>
      </c>
      <c r="L14" s="18">
        <f>AVERAGE(K11:K14)</f>
        <v>-535.9</v>
      </c>
      <c r="M14" s="21">
        <f>-(J14-F14-G14)+M13</f>
        <v>-4754.4</v>
      </c>
    </row>
    <row r="15" ht="20.05" customHeight="1">
      <c r="B15" s="31"/>
      <c r="C15" s="13">
        <v>15694.8</v>
      </c>
      <c r="D15" s="18">
        <v>1821.6</v>
      </c>
      <c r="E15" s="18">
        <v>-734</v>
      </c>
      <c r="F15" s="18">
        <v>-161</v>
      </c>
      <c r="G15" s="18"/>
      <c r="H15" s="18"/>
      <c r="I15" s="18"/>
      <c r="J15" s="18">
        <v>-871.3</v>
      </c>
      <c r="K15" s="18">
        <f>F15+D15+E15+G15</f>
        <v>926.6</v>
      </c>
      <c r="L15" s="18">
        <f>AVERAGE(K12:K15)</f>
        <v>-237.35</v>
      </c>
      <c r="M15" s="21">
        <f>-(J15-F15-G15)+M14</f>
        <v>-4044.1</v>
      </c>
    </row>
    <row r="16" ht="20.05" customHeight="1">
      <c r="B16" s="32">
        <v>2018</v>
      </c>
      <c r="C16" s="13">
        <v>14317.5</v>
      </c>
      <c r="D16" s="18">
        <v>698</v>
      </c>
      <c r="E16" s="18">
        <v>-493</v>
      </c>
      <c r="F16" s="18">
        <v>-137</v>
      </c>
      <c r="G16" s="18"/>
      <c r="H16" s="18"/>
      <c r="I16" s="18"/>
      <c r="J16" s="18">
        <v>-268</v>
      </c>
      <c r="K16" s="18">
        <f>F16+D16+E16+G16</f>
        <v>68</v>
      </c>
      <c r="L16" s="18">
        <f>AVERAGE(K13:K16)</f>
        <v>-21.55</v>
      </c>
      <c r="M16" s="21">
        <f>-(J16-F16-G16)+M15</f>
        <v>-3913.1</v>
      </c>
    </row>
    <row r="17" ht="20.05" customHeight="1">
      <c r="B17" s="31"/>
      <c r="C17" s="13">
        <v>18544.2</v>
      </c>
      <c r="D17" s="18">
        <v>2048.5</v>
      </c>
      <c r="E17" s="18">
        <v>-411.9</v>
      </c>
      <c r="F17" s="18">
        <v>-142</v>
      </c>
      <c r="G17" s="18"/>
      <c r="H17" s="18"/>
      <c r="I17" s="18"/>
      <c r="J17" s="18">
        <v>-1203.9</v>
      </c>
      <c r="K17" s="18">
        <f>F17+D17+E17+G17</f>
        <v>1494.6</v>
      </c>
      <c r="L17" s="18">
        <f>AVERAGE(K14:K17)</f>
        <v>348.2</v>
      </c>
      <c r="M17" s="21">
        <f>-(J17-F17-G17)+M16</f>
        <v>-2851.2</v>
      </c>
    </row>
    <row r="18" ht="20.05" customHeight="1">
      <c r="B18" s="31"/>
      <c r="C18" s="13">
        <v>16913</v>
      </c>
      <c r="D18" s="18">
        <v>1196.3</v>
      </c>
      <c r="E18" s="18">
        <v>-420.1</v>
      </c>
      <c r="F18" s="18">
        <v>-123</v>
      </c>
      <c r="G18" s="18"/>
      <c r="H18" s="18"/>
      <c r="I18" s="18"/>
      <c r="J18" s="18">
        <v>-917.7</v>
      </c>
      <c r="K18" s="18">
        <f>F18+D18+E18+G18</f>
        <v>653.2</v>
      </c>
      <c r="L18" s="18">
        <f>AVERAGE(K15:K18)</f>
        <v>785.6</v>
      </c>
      <c r="M18" s="21">
        <f>-(J18-F18-G18)+M17</f>
        <v>-2056.5</v>
      </c>
    </row>
    <row r="19" ht="20.05" customHeight="1">
      <c r="B19" s="31"/>
      <c r="C19" s="13">
        <v>18771.3</v>
      </c>
      <c r="D19" s="18">
        <v>2014.2</v>
      </c>
      <c r="E19" s="18">
        <v>-561</v>
      </c>
      <c r="F19" s="18">
        <v>-126</v>
      </c>
      <c r="G19" s="18"/>
      <c r="H19" s="18"/>
      <c r="I19" s="18"/>
      <c r="J19" s="18">
        <v>-543.4</v>
      </c>
      <c r="K19" s="18">
        <f>F19+D19+E19+G19</f>
        <v>1327.2</v>
      </c>
      <c r="L19" s="18">
        <f>AVERAGE(K16:K19)</f>
        <v>885.75</v>
      </c>
      <c r="M19" s="21">
        <f>-(J19-F19-G19)+M18</f>
        <v>-1639.1</v>
      </c>
    </row>
    <row r="20" ht="20.05" customHeight="1">
      <c r="B20" s="32">
        <v>2019</v>
      </c>
      <c r="C20" s="13">
        <v>16312.5</v>
      </c>
      <c r="D20" s="18">
        <v>233.6</v>
      </c>
      <c r="E20" s="18">
        <v>-623.5</v>
      </c>
      <c r="F20" s="18">
        <v>-100</v>
      </c>
      <c r="G20" s="18"/>
      <c r="H20" s="18"/>
      <c r="I20" s="18"/>
      <c r="J20" s="18">
        <v>-107</v>
      </c>
      <c r="K20" s="18">
        <f>F20+D20+E20+G20</f>
        <v>-489.9</v>
      </c>
      <c r="L20" s="18">
        <f>AVERAGE(K17:K20)</f>
        <v>746.275</v>
      </c>
      <c r="M20" s="21">
        <f>-(J20-F20-G20)+M19</f>
        <v>-1632.1</v>
      </c>
    </row>
    <row r="21" ht="20.05" customHeight="1">
      <c r="B21" s="31"/>
      <c r="C21" s="13">
        <v>19928.4</v>
      </c>
      <c r="D21" s="18">
        <v>1013.3</v>
      </c>
      <c r="E21" s="18">
        <v>-596.5</v>
      </c>
      <c r="F21" s="18">
        <v>-99</v>
      </c>
      <c r="G21" s="18"/>
      <c r="H21" s="18"/>
      <c r="I21" s="18"/>
      <c r="J21" s="18">
        <v>-292</v>
      </c>
      <c r="K21" s="18">
        <f>F21+D21+E21+G21</f>
        <v>317.8</v>
      </c>
      <c r="L21" s="18">
        <f>AVERAGE(K18:K21)</f>
        <v>452.075</v>
      </c>
      <c r="M21" s="21">
        <f>-(J21-F21-G21)+M20</f>
        <v>-1439.1</v>
      </c>
    </row>
    <row r="22" ht="20.05" customHeight="1">
      <c r="B22" s="31"/>
      <c r="C22" s="13">
        <v>18363.6</v>
      </c>
      <c r="D22" s="18">
        <v>2499.7</v>
      </c>
      <c r="E22" s="18">
        <v>-687.7</v>
      </c>
      <c r="F22" s="18">
        <v>-99</v>
      </c>
      <c r="G22" s="18"/>
      <c r="H22" s="18"/>
      <c r="I22" s="18"/>
      <c r="J22" s="18">
        <v>-169</v>
      </c>
      <c r="K22" s="18">
        <f>F22+D22+E22+G22</f>
        <v>1713</v>
      </c>
      <c r="L22" s="18">
        <f>AVERAGE(K19:K22)</f>
        <v>717.025</v>
      </c>
      <c r="M22" s="21">
        <f>-(J22-F22-G22)+M21</f>
        <v>-1369.1</v>
      </c>
    </row>
    <row r="23" ht="20.05" customHeight="1">
      <c r="B23" s="31"/>
      <c r="C23" s="13">
        <v>18887.5</v>
      </c>
      <c r="D23" s="18">
        <v>1662.4</v>
      </c>
      <c r="E23" s="18">
        <v>-781.3</v>
      </c>
      <c r="F23" s="18">
        <v>-97</v>
      </c>
      <c r="G23" s="18"/>
      <c r="H23" s="18"/>
      <c r="I23" s="18"/>
      <c r="J23" s="18">
        <v>-324</v>
      </c>
      <c r="K23" s="18">
        <f>F23+D23+E23+G23</f>
        <v>784.1</v>
      </c>
      <c r="L23" s="18">
        <f>AVERAGE(K20:K23)</f>
        <v>581.25</v>
      </c>
      <c r="M23" s="21">
        <f>-(J23-F23-G23)+M22</f>
        <v>-1142.1</v>
      </c>
    </row>
    <row r="24" ht="20.05" customHeight="1">
      <c r="B24" s="32">
        <v>2020</v>
      </c>
      <c r="C24" s="13">
        <v>18845</v>
      </c>
      <c r="D24" s="18">
        <v>1713</v>
      </c>
      <c r="E24" s="18">
        <v>-1059.2</v>
      </c>
      <c r="F24" s="18">
        <v>-102.15</v>
      </c>
      <c r="G24" s="18">
        <v>-84.5</v>
      </c>
      <c r="H24" s="18"/>
      <c r="I24" s="18"/>
      <c r="J24" s="18">
        <v>2531.32</v>
      </c>
      <c r="K24" s="18">
        <f>F24+D24+E24+G24</f>
        <v>467.15</v>
      </c>
      <c r="L24" s="18">
        <f>AVERAGE(K21:K24)</f>
        <v>820.5125</v>
      </c>
      <c r="M24" s="21">
        <f>-(J24-F24-G24)+M23</f>
        <v>-3860.07</v>
      </c>
    </row>
    <row r="25" ht="20.05" customHeight="1">
      <c r="B25" s="31"/>
      <c r="C25" s="13">
        <v>19170</v>
      </c>
      <c r="D25" s="18">
        <v>-1549</v>
      </c>
      <c r="E25" s="18">
        <v>-997.8</v>
      </c>
      <c r="F25" s="18">
        <v>-123.85</v>
      </c>
      <c r="G25" s="18">
        <v>-84.5</v>
      </c>
      <c r="H25" s="18"/>
      <c r="I25" s="18"/>
      <c r="J25" s="18">
        <v>-3429.32</v>
      </c>
      <c r="K25" s="18">
        <f>F25+D25+E25+G25</f>
        <v>-2755.15</v>
      </c>
      <c r="L25" s="18">
        <f>AVERAGE(K22:K25)</f>
        <v>52.275</v>
      </c>
      <c r="M25" s="21">
        <f>-(J25-F25-G25)+M24</f>
        <v>-639.1</v>
      </c>
    </row>
    <row r="26" ht="20.05" customHeight="1">
      <c r="B26" s="31"/>
      <c r="C26" s="13">
        <f>56160-SUM(C24:C25)</f>
        <v>18145</v>
      </c>
      <c r="D26" s="18">
        <f>4054-SUM(D24:D25)</f>
        <v>3890</v>
      </c>
      <c r="E26" s="18">
        <f>-2992-SUM(E24:E25)</f>
        <v>-935</v>
      </c>
      <c r="F26" s="18">
        <f>-304-SUM(F24:F25)</f>
        <v>-78</v>
      </c>
      <c r="G26" s="18">
        <v>-84.5</v>
      </c>
      <c r="H26" s="18"/>
      <c r="I26" s="18"/>
      <c r="J26" s="18">
        <f>-1990-SUM(J24:J25)</f>
        <v>-1092</v>
      </c>
      <c r="K26" s="18">
        <f>F26+D26+E26+G26</f>
        <v>2792.5</v>
      </c>
      <c r="L26" s="18">
        <f>AVERAGE(K23:K26)</f>
        <v>322.15</v>
      </c>
      <c r="M26" s="21">
        <f>-(J26-F26-G26)+M25</f>
        <v>290.4</v>
      </c>
    </row>
    <row r="27" ht="20.05" customHeight="1">
      <c r="B27" s="31"/>
      <c r="C27" s="13">
        <v>19225</v>
      </c>
      <c r="D27" s="18">
        <v>2507</v>
      </c>
      <c r="E27" s="18">
        <v>-839</v>
      </c>
      <c r="F27" s="18">
        <v>-32</v>
      </c>
      <c r="G27" s="18">
        <v>-84.5</v>
      </c>
      <c r="H27" s="18"/>
      <c r="I27" s="18"/>
      <c r="J27" s="18">
        <v>-760</v>
      </c>
      <c r="K27" s="18">
        <f>F27+D27+E27+G27</f>
        <v>1551.5</v>
      </c>
      <c r="L27" s="18">
        <f>AVERAGE(K24:K27)</f>
        <v>514</v>
      </c>
      <c r="M27" s="21">
        <f>-(J27-F27-G27)+M26</f>
        <v>933.9</v>
      </c>
    </row>
    <row r="28" ht="20.05" customHeight="1">
      <c r="B28" s="32">
        <v>2021</v>
      </c>
      <c r="C28" s="13">
        <v>18750</v>
      </c>
      <c r="D28" s="18">
        <v>894.2</v>
      </c>
      <c r="E28" s="18">
        <v>-826.4</v>
      </c>
      <c r="F28" s="18">
        <v>-70.7</v>
      </c>
      <c r="G28" s="18">
        <v>-21.9</v>
      </c>
      <c r="H28" s="18">
        <f>-86.277-F28-G28</f>
        <v>6.323</v>
      </c>
      <c r="I28" s="18"/>
      <c r="J28" s="18">
        <f>-86.3</f>
        <v>-86.3</v>
      </c>
      <c r="K28" s="18">
        <f>F28+D28+E28+G28</f>
        <v>-24.8</v>
      </c>
      <c r="L28" s="18">
        <f>AVERAGE(K25:K28)</f>
        <v>391.0125</v>
      </c>
      <c r="M28" s="21">
        <f>-(H28+I28)+M27</f>
        <v>927.577</v>
      </c>
    </row>
    <row r="29" ht="20.05" customHeight="1">
      <c r="B29" s="31"/>
      <c r="C29" s="13">
        <f>42390.4-C28</f>
        <v>23640.4</v>
      </c>
      <c r="D29" s="18">
        <f>2187.9-D28</f>
        <v>1293.7</v>
      </c>
      <c r="E29" s="18">
        <f>-1542.7-E28</f>
        <v>-716.3</v>
      </c>
      <c r="F29" s="18">
        <f>-125.9-F28</f>
        <v>-55.2</v>
      </c>
      <c r="G29" s="18">
        <f>-188.1-G28</f>
        <v>-166.2</v>
      </c>
      <c r="H29" s="18">
        <f>-1757.98-F29-F28-G29-G28-H28-I29</f>
        <v>-1056.163</v>
      </c>
      <c r="I29" s="18">
        <v>-394.14</v>
      </c>
      <c r="J29" s="18">
        <f>-1758-J28</f>
        <v>-1671.7</v>
      </c>
      <c r="K29" s="18">
        <f>F29+D29+E29+G29</f>
        <v>356</v>
      </c>
      <c r="L29" s="18">
        <f>AVERAGE(K26:K29)</f>
        <v>1168.8</v>
      </c>
      <c r="M29" s="21">
        <f>-(H29+I29)+M28</f>
        <v>2377.88</v>
      </c>
    </row>
    <row r="30" ht="20.05" customHeight="1">
      <c r="B30" s="31"/>
      <c r="C30" s="13">
        <f>63428.5-SUM(C28:C29)</f>
        <v>21038.1</v>
      </c>
      <c r="D30" s="18">
        <f>4259-SUM(D28:D29)</f>
        <v>2071.1</v>
      </c>
      <c r="E30" s="18">
        <f>-2459.6-SUM(E28:E29)</f>
        <v>-916.9</v>
      </c>
      <c r="F30" s="18">
        <f>-276.8-SUM(F28:F29)</f>
        <v>-150.9</v>
      </c>
      <c r="G30" s="18">
        <f>-286.5-SUM(G28:G29)</f>
        <v>-98.40000000000001</v>
      </c>
      <c r="H30" s="18">
        <f>-3154.627-G30-G29-G28-H29-H28-I30-I29-F30-F29-F28</f>
        <v>-1147.327</v>
      </c>
      <c r="I30" s="18">
        <f>-386.178-7.982-I29</f>
        <v>-0.02</v>
      </c>
      <c r="J30" s="18">
        <f>-3154.6-SUM(J28:J29)</f>
        <v>-1396.6</v>
      </c>
      <c r="K30" s="18">
        <f>F30+D30+E30+G30</f>
        <v>904.9</v>
      </c>
      <c r="L30" s="18">
        <f>AVERAGE(K27:K30)</f>
        <v>696.9</v>
      </c>
      <c r="M30" s="21">
        <f>-(H30+I30)+M29</f>
        <v>3525.227</v>
      </c>
    </row>
    <row r="31" ht="20.05" customHeight="1">
      <c r="B31" s="31"/>
      <c r="C31" s="13"/>
      <c r="D31" s="18"/>
      <c r="E31" s="18"/>
      <c r="F31" s="18"/>
      <c r="G31" s="18"/>
      <c r="H31" s="18"/>
      <c r="I31" s="18"/>
      <c r="J31" s="18"/>
      <c r="K31" s="22"/>
      <c r="L31" s="18">
        <f>SUM('Model'!F9:F11)</f>
        <v>657.6271873217</v>
      </c>
      <c r="M31" s="18">
        <f>'Model'!F34</f>
        <v>5596.3461449319</v>
      </c>
    </row>
  </sheetData>
  <mergeCells count="1">
    <mergeCell ref="B2:M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6" customWidth="1"/>
    <col min="2" max="2" width="8.01562" style="36" customWidth="1"/>
    <col min="3" max="11" width="9.98438" style="36" customWidth="1"/>
    <col min="12" max="16384" width="16.3516" style="36" customWidth="1"/>
  </cols>
  <sheetData>
    <row r="1" ht="35.7" customHeight="1"/>
    <row r="2" ht="27.65" customHeight="1">
      <c r="B2" t="s" s="2">
        <v>23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44</v>
      </c>
      <c r="C3" t="s" s="4">
        <v>56</v>
      </c>
      <c r="D3" t="s" s="4">
        <v>57</v>
      </c>
      <c r="E3" t="s" s="4">
        <v>24</v>
      </c>
      <c r="F3" t="s" s="4">
        <v>25</v>
      </c>
      <c r="G3" t="s" s="4">
        <v>12</v>
      </c>
      <c r="H3" t="s" s="4">
        <v>54</v>
      </c>
      <c r="I3" t="s" s="4">
        <v>58</v>
      </c>
      <c r="J3" t="s" s="4">
        <v>28</v>
      </c>
      <c r="K3" t="s" s="4">
        <v>36</v>
      </c>
    </row>
    <row r="4" ht="20.25" customHeight="1">
      <c r="B4" s="25">
        <v>2016</v>
      </c>
      <c r="C4" s="37">
        <v>496</v>
      </c>
      <c r="D4" s="38">
        <v>15488</v>
      </c>
      <c r="E4" s="38">
        <f>D4-C4</f>
        <v>14992</v>
      </c>
      <c r="F4" s="38">
        <v>4007</v>
      </c>
      <c r="G4" s="38">
        <v>10572</v>
      </c>
      <c r="H4" s="38">
        <v>4916</v>
      </c>
      <c r="I4" s="38">
        <f>G4+H4-C4-E4</f>
        <v>0</v>
      </c>
      <c r="J4" s="38">
        <f>C4-G4</f>
        <v>-10076</v>
      </c>
      <c r="K4" s="38"/>
    </row>
    <row r="5" ht="20.05" customHeight="1">
      <c r="B5" s="31"/>
      <c r="C5" s="39">
        <v>892</v>
      </c>
      <c r="D5" s="40">
        <v>19655</v>
      </c>
      <c r="E5" s="40">
        <f>D5-C5</f>
        <v>18763</v>
      </c>
      <c r="F5" s="40">
        <v>4263</v>
      </c>
      <c r="G5" s="40">
        <v>14887</v>
      </c>
      <c r="H5" s="40">
        <v>4768</v>
      </c>
      <c r="I5" s="40">
        <f>G5+H5-C5-E5</f>
        <v>0</v>
      </c>
      <c r="J5" s="40">
        <f>C5-G5</f>
        <v>-13995</v>
      </c>
      <c r="K5" s="40"/>
    </row>
    <row r="6" ht="20.05" customHeight="1">
      <c r="B6" s="31"/>
      <c r="C6" s="39">
        <v>618</v>
      </c>
      <c r="D6" s="40">
        <v>17826</v>
      </c>
      <c r="E6" s="40">
        <f>D6-C6</f>
        <v>17208</v>
      </c>
      <c r="F6" s="40">
        <v>4531</v>
      </c>
      <c r="G6" s="40">
        <v>12804</v>
      </c>
      <c r="H6" s="40">
        <v>5022</v>
      </c>
      <c r="I6" s="40">
        <f>G6+H6-C6-E6</f>
        <v>0</v>
      </c>
      <c r="J6" s="40">
        <f>C6-G6</f>
        <v>-12186</v>
      </c>
      <c r="K6" s="40"/>
    </row>
    <row r="7" ht="20.05" customHeight="1">
      <c r="B7" s="31"/>
      <c r="C7" s="39">
        <v>937</v>
      </c>
      <c r="D7" s="40">
        <v>19474</v>
      </c>
      <c r="E7" s="40">
        <f>D7-C7</f>
        <v>18537</v>
      </c>
      <c r="F7" s="40">
        <v>4803</v>
      </c>
      <c r="G7" s="40">
        <v>14179</v>
      </c>
      <c r="H7" s="40">
        <v>5295</v>
      </c>
      <c r="I7" s="40">
        <f>G7+H7-C7-E7</f>
        <v>0</v>
      </c>
      <c r="J7" s="40">
        <f>C7-G7</f>
        <v>-13242</v>
      </c>
      <c r="K7" s="40"/>
    </row>
    <row r="8" ht="20.05" customHeight="1">
      <c r="B8" s="32">
        <v>2017</v>
      </c>
      <c r="C8" s="39">
        <v>578</v>
      </c>
      <c r="D8" s="40">
        <v>20399</v>
      </c>
      <c r="E8" s="40">
        <f>D8-C8</f>
        <v>19821</v>
      </c>
      <c r="F8" s="40">
        <v>5085</v>
      </c>
      <c r="G8" s="40">
        <v>15038</v>
      </c>
      <c r="H8" s="40">
        <v>5361</v>
      </c>
      <c r="I8" s="40">
        <f>G8+H8-C8-E8</f>
        <v>0</v>
      </c>
      <c r="J8" s="40">
        <f>C8-G8</f>
        <v>-14460</v>
      </c>
      <c r="K8" s="40"/>
    </row>
    <row r="9" ht="20.05" customHeight="1">
      <c r="B9" s="31"/>
      <c r="C9" s="39">
        <v>2120</v>
      </c>
      <c r="D9" s="40">
        <v>23678</v>
      </c>
      <c r="E9" s="40">
        <f>D9-C9</f>
        <v>21558</v>
      </c>
      <c r="F9" s="40">
        <v>5357</v>
      </c>
      <c r="G9" s="40">
        <v>18503</v>
      </c>
      <c r="H9" s="40">
        <v>5175</v>
      </c>
      <c r="I9" s="40">
        <f>G9+H9-C9-E9</f>
        <v>0</v>
      </c>
      <c r="J9" s="40">
        <f>C9-G9</f>
        <v>-16383</v>
      </c>
      <c r="K9" s="40"/>
    </row>
    <row r="10" ht="20.05" customHeight="1">
      <c r="B10" s="31"/>
      <c r="C10" s="39">
        <v>717</v>
      </c>
      <c r="D10" s="40">
        <v>21561</v>
      </c>
      <c r="E10" s="40">
        <f>D10-C10</f>
        <v>20844</v>
      </c>
      <c r="F10" s="40">
        <v>5644</v>
      </c>
      <c r="G10" s="40">
        <v>16377</v>
      </c>
      <c r="H10" s="40">
        <v>5184</v>
      </c>
      <c r="I10" s="40">
        <f>G10+H10-C10-E10</f>
        <v>0</v>
      </c>
      <c r="J10" s="40">
        <f>C10-G10</f>
        <v>-15660</v>
      </c>
      <c r="K10" s="40"/>
    </row>
    <row r="11" ht="20.05" customHeight="1">
      <c r="B11" s="31"/>
      <c r="C11" s="39">
        <v>947</v>
      </c>
      <c r="D11" s="40">
        <v>21902</v>
      </c>
      <c r="E11" s="40">
        <f>D11-C11</f>
        <v>20955</v>
      </c>
      <c r="F11" s="40">
        <v>5926</v>
      </c>
      <c r="G11" s="40">
        <v>16652</v>
      </c>
      <c r="H11" s="40">
        <v>5250</v>
      </c>
      <c r="I11" s="40">
        <f>G11+H11-C11-E11</f>
        <v>0</v>
      </c>
      <c r="J11" s="40">
        <f>C11-G11</f>
        <v>-15705</v>
      </c>
      <c r="K11" s="40"/>
    </row>
    <row r="12" ht="20.05" customHeight="1">
      <c r="B12" s="32">
        <v>2018</v>
      </c>
      <c r="C12" s="39">
        <v>918</v>
      </c>
      <c r="D12" s="40">
        <v>22471</v>
      </c>
      <c r="E12" s="40">
        <f>D12-C12</f>
        <v>21553</v>
      </c>
      <c r="F12" s="40">
        <v>6191</v>
      </c>
      <c r="G12" s="40">
        <v>17098</v>
      </c>
      <c r="H12" s="40">
        <v>5373</v>
      </c>
      <c r="I12" s="40">
        <f>G12+H12-C12-E12</f>
        <v>0</v>
      </c>
      <c r="J12" s="40">
        <f>C12-G12</f>
        <v>-16180</v>
      </c>
      <c r="K12" s="40"/>
    </row>
    <row r="13" ht="20.05" customHeight="1">
      <c r="B13" s="31"/>
      <c r="C13" s="39">
        <v>1303</v>
      </c>
      <c r="D13" s="40">
        <v>22578</v>
      </c>
      <c r="E13" s="40">
        <f>D13-C13</f>
        <v>21275</v>
      </c>
      <c r="F13" s="40">
        <v>6471</v>
      </c>
      <c r="G13" s="40">
        <v>17191</v>
      </c>
      <c r="H13" s="40">
        <v>5387</v>
      </c>
      <c r="I13" s="40">
        <f>G13+H13-C13-E13</f>
        <v>0</v>
      </c>
      <c r="J13" s="40">
        <f>C13-G13</f>
        <v>-15888</v>
      </c>
      <c r="K13" s="40"/>
    </row>
    <row r="14" ht="20.05" customHeight="1">
      <c r="B14" s="31"/>
      <c r="C14" s="39">
        <v>1175</v>
      </c>
      <c r="D14" s="40">
        <v>21350</v>
      </c>
      <c r="E14" s="40">
        <f>D14-C14</f>
        <v>20175</v>
      </c>
      <c r="F14" s="40">
        <f>6726</f>
        <v>6726</v>
      </c>
      <c r="G14" s="40">
        <v>15838</v>
      </c>
      <c r="H14" s="40">
        <v>5512</v>
      </c>
      <c r="I14" s="40">
        <f>G14+H14-C14-E14</f>
        <v>0</v>
      </c>
      <c r="J14" s="40">
        <f>C14-G14</f>
        <v>-14663</v>
      </c>
      <c r="K14" s="40"/>
    </row>
    <row r="15" ht="20.05" customHeight="1">
      <c r="B15" s="31"/>
      <c r="C15" s="39">
        <v>2070</v>
      </c>
      <c r="D15" s="40">
        <v>22166</v>
      </c>
      <c r="E15" s="40">
        <f>D15-C15</f>
        <v>20096</v>
      </c>
      <c r="F15" s="40">
        <v>6979</v>
      </c>
      <c r="G15" s="40">
        <v>16148</v>
      </c>
      <c r="H15" s="40">
        <v>6018</v>
      </c>
      <c r="I15" s="40">
        <f>G15+H15-C15-E15</f>
        <v>0</v>
      </c>
      <c r="J15" s="40">
        <f>C15-G15</f>
        <v>-14078</v>
      </c>
      <c r="K15" s="40"/>
    </row>
    <row r="16" ht="20.05" customHeight="1">
      <c r="B16" s="32">
        <v>2019</v>
      </c>
      <c r="C16" s="39">
        <v>1530</v>
      </c>
      <c r="D16" s="40">
        <v>23135</v>
      </c>
      <c r="E16" s="40">
        <f>D16-C16</f>
        <v>21605</v>
      </c>
      <c r="F16" s="40">
        <v>7222</v>
      </c>
      <c r="G16" s="40">
        <v>16913</v>
      </c>
      <c r="H16" s="40">
        <v>6222</v>
      </c>
      <c r="I16" s="40">
        <f>G16+H16-C16-E16</f>
        <v>0</v>
      </c>
      <c r="J16" s="40">
        <f>C16-G16</f>
        <v>-15383</v>
      </c>
      <c r="K16" s="40"/>
    </row>
    <row r="17" ht="20.05" customHeight="1">
      <c r="B17" s="31"/>
      <c r="C17" s="39">
        <v>1698</v>
      </c>
      <c r="D17" s="40">
        <v>22525</v>
      </c>
      <c r="E17" s="40">
        <f>D17-C17</f>
        <v>20827</v>
      </c>
      <c r="F17" s="40">
        <v>7490</v>
      </c>
      <c r="G17" s="40">
        <v>16214</v>
      </c>
      <c r="H17" s="40">
        <v>6311</v>
      </c>
      <c r="I17" s="40">
        <f>G17+H17-C17-E17</f>
        <v>0</v>
      </c>
      <c r="J17" s="40">
        <f>C17-G17</f>
        <v>-14516</v>
      </c>
      <c r="K17" s="40"/>
    </row>
    <row r="18" ht="20.05" customHeight="1">
      <c r="B18" s="31"/>
      <c r="C18" s="39">
        <v>3411</v>
      </c>
      <c r="D18" s="40">
        <v>23255</v>
      </c>
      <c r="E18" s="40">
        <f>D18-C18</f>
        <v>19844</v>
      </c>
      <c r="F18" s="40">
        <v>7722</v>
      </c>
      <c r="G18" s="40">
        <v>16682</v>
      </c>
      <c r="H18" s="40">
        <v>6573</v>
      </c>
      <c r="I18" s="40">
        <f>G18+H18-C18-E18</f>
        <v>0</v>
      </c>
      <c r="J18" s="40">
        <f>C18-G18</f>
        <v>-13271</v>
      </c>
      <c r="K18" s="40"/>
    </row>
    <row r="19" ht="20.05" customHeight="1">
      <c r="B19" s="31"/>
      <c r="C19" s="39">
        <v>3898</v>
      </c>
      <c r="D19" s="40">
        <v>23992</v>
      </c>
      <c r="E19" s="40">
        <f>D19-C19</f>
        <v>20094</v>
      </c>
      <c r="F19" s="40">
        <v>7849</v>
      </c>
      <c r="G19" s="40">
        <v>17108</v>
      </c>
      <c r="H19" s="40">
        <v>6884</v>
      </c>
      <c r="I19" s="40">
        <f>G19+H19-C19-E19</f>
        <v>0</v>
      </c>
      <c r="J19" s="40">
        <f>C19-G19</f>
        <v>-13210</v>
      </c>
      <c r="K19" s="40"/>
    </row>
    <row r="20" ht="20.05" customHeight="1">
      <c r="B20" s="32">
        <v>2020</v>
      </c>
      <c r="C20" s="39">
        <v>7083</v>
      </c>
      <c r="D20" s="40">
        <v>30179</v>
      </c>
      <c r="E20" s="40">
        <f>D20-C20</f>
        <v>23096</v>
      </c>
      <c r="F20" s="40">
        <f>8063+4165</f>
        <v>12228</v>
      </c>
      <c r="G20" s="40">
        <v>22886</v>
      </c>
      <c r="H20" s="40">
        <v>7293</v>
      </c>
      <c r="I20" s="40">
        <f>G20+H20-C20-E20</f>
        <v>0</v>
      </c>
      <c r="J20" s="40">
        <f>C20-G20</f>
        <v>-15803</v>
      </c>
      <c r="K20" s="40"/>
    </row>
    <row r="21" ht="20.05" customHeight="1">
      <c r="B21" s="31"/>
      <c r="C21" s="39">
        <v>1106</v>
      </c>
      <c r="D21" s="40">
        <v>23379</v>
      </c>
      <c r="E21" s="40">
        <f>D21-C21</f>
        <v>22273</v>
      </c>
      <c r="F21" s="40">
        <f>4662+8276</f>
        <v>12938</v>
      </c>
      <c r="G21" s="40">
        <v>16545</v>
      </c>
      <c r="H21" s="40">
        <v>6834</v>
      </c>
      <c r="I21" s="40">
        <f>G21+H21-C21-E21</f>
        <v>0</v>
      </c>
      <c r="J21" s="40">
        <f>C21-G21</f>
        <v>-15439</v>
      </c>
      <c r="K21" s="40"/>
    </row>
    <row r="22" ht="20.05" customHeight="1">
      <c r="B22" s="31"/>
      <c r="C22" s="39">
        <v>2970</v>
      </c>
      <c r="D22" s="40">
        <v>25348</v>
      </c>
      <c r="E22" s="40">
        <f>D22-C22</f>
        <v>22378</v>
      </c>
      <c r="F22" s="40">
        <f>5061+8464</f>
        <v>13525</v>
      </c>
      <c r="G22" s="40">
        <v>18351</v>
      </c>
      <c r="H22" s="40">
        <v>6997</v>
      </c>
      <c r="I22" s="40">
        <f>G22+H22-C22-E22</f>
        <v>0</v>
      </c>
      <c r="J22" s="40">
        <f>C22-G22</f>
        <v>-15381</v>
      </c>
      <c r="K22" s="40"/>
    </row>
    <row r="23" ht="20.05" customHeight="1">
      <c r="B23" s="31"/>
      <c r="C23" s="39">
        <v>3878</v>
      </c>
      <c r="D23" s="40">
        <v>25971</v>
      </c>
      <c r="E23" s="40">
        <f>D23-C23</f>
        <v>22093</v>
      </c>
      <c r="F23" s="40">
        <f>8614+1971</f>
        <v>10585</v>
      </c>
      <c r="G23" s="40">
        <v>18334</v>
      </c>
      <c r="H23" s="40">
        <v>7636</v>
      </c>
      <c r="I23" s="40">
        <f>G23+H23-C23-E23</f>
        <v>-1</v>
      </c>
      <c r="J23" s="40">
        <f>C23-G23</f>
        <v>-14456</v>
      </c>
      <c r="K23" s="21"/>
    </row>
    <row r="24" ht="20.05" customHeight="1">
      <c r="B24" s="32">
        <v>2021</v>
      </c>
      <c r="C24" s="39">
        <v>3859</v>
      </c>
      <c r="D24" s="40">
        <v>28928</v>
      </c>
      <c r="E24" s="40">
        <f>D24-C24</f>
        <v>25069</v>
      </c>
      <c r="F24" s="40">
        <f>1971+8790</f>
        <v>10761</v>
      </c>
      <c r="G24" s="40">
        <v>20783</v>
      </c>
      <c r="H24" s="40">
        <v>8145</v>
      </c>
      <c r="I24" s="40">
        <f>G24+H24-C24-E24</f>
        <v>0</v>
      </c>
      <c r="J24" s="40">
        <f>C24-G24</f>
        <v>-16924</v>
      </c>
      <c r="K24" s="40"/>
    </row>
    <row r="25" ht="20.05" customHeight="1">
      <c r="B25" s="31"/>
      <c r="C25" s="39">
        <v>2765</v>
      </c>
      <c r="D25" s="40">
        <v>26543</v>
      </c>
      <c r="E25" s="40">
        <f>D25-C25</f>
        <v>23778</v>
      </c>
      <c r="F25" s="40">
        <f>1646+9008</f>
        <v>10654</v>
      </c>
      <c r="G25" s="40">
        <v>18417</v>
      </c>
      <c r="H25" s="40">
        <v>8126</v>
      </c>
      <c r="I25" s="40">
        <f>G25+H25-C25-E25</f>
        <v>0</v>
      </c>
      <c r="J25" s="40">
        <f>C25-G25</f>
        <v>-15652</v>
      </c>
      <c r="K25" s="40"/>
    </row>
    <row r="26" ht="20.05" customHeight="1">
      <c r="B26" s="31"/>
      <c r="C26" s="39">
        <v>2522</v>
      </c>
      <c r="D26" s="40">
        <v>26742</v>
      </c>
      <c r="E26" s="40">
        <f>D26-C26</f>
        <v>24220</v>
      </c>
      <c r="F26" s="40">
        <f>9260+1968</f>
        <v>11228</v>
      </c>
      <c r="G26" s="40">
        <v>18357</v>
      </c>
      <c r="H26" s="40">
        <v>8385</v>
      </c>
      <c r="I26" s="40">
        <f>G26+H26-C26-E26</f>
        <v>0</v>
      </c>
      <c r="J26" s="40">
        <f>C26-G26</f>
        <v>-15835</v>
      </c>
      <c r="K26" s="40">
        <f>J26</f>
        <v>-15835</v>
      </c>
    </row>
    <row r="27" ht="20.05" customHeight="1">
      <c r="B27" s="31"/>
      <c r="C27" s="39"/>
      <c r="D27" s="40"/>
      <c r="E27" s="40"/>
      <c r="F27" s="40"/>
      <c r="G27" s="40"/>
      <c r="H27" s="40"/>
      <c r="I27" s="40"/>
      <c r="J27" s="40"/>
      <c r="K27" s="40">
        <f>'Model'!F32</f>
        <v>-13256.6882269116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2.6719" style="41" customWidth="1"/>
    <col min="2" max="4" width="9.375" style="41" customWidth="1"/>
    <col min="5" max="16384" width="16.3516" style="41" customWidth="1"/>
  </cols>
  <sheetData>
    <row r="1" ht="40" customHeight="1"/>
    <row r="2" ht="27.65" customHeight="1">
      <c r="B2" t="s" s="2">
        <v>59</v>
      </c>
      <c r="C2" s="2"/>
      <c r="D2" s="2"/>
    </row>
    <row r="3" ht="20.25" customHeight="1">
      <c r="B3" t="s" s="42">
        <v>60</v>
      </c>
      <c r="C3" t="s" s="42">
        <v>61</v>
      </c>
      <c r="D3" t="s" s="42">
        <v>39</v>
      </c>
    </row>
    <row r="4" ht="20.25" customHeight="1">
      <c r="B4" s="25">
        <v>2018</v>
      </c>
      <c r="C4" s="43">
        <v>610</v>
      </c>
      <c r="D4" s="8"/>
    </row>
    <row r="5" ht="20.05" customHeight="1">
      <c r="B5" s="31"/>
      <c r="C5" s="20">
        <v>750</v>
      </c>
      <c r="D5" s="22"/>
    </row>
    <row r="6" ht="20.05" customHeight="1">
      <c r="B6" s="31"/>
      <c r="C6" s="20">
        <v>930</v>
      </c>
      <c r="D6" s="22"/>
    </row>
    <row r="7" ht="20.05" customHeight="1">
      <c r="B7" s="31"/>
      <c r="C7" s="20">
        <v>935</v>
      </c>
      <c r="D7" s="22"/>
    </row>
    <row r="8" ht="20.05" customHeight="1">
      <c r="B8" s="32">
        <v>2019</v>
      </c>
      <c r="C8" s="20">
        <v>900</v>
      </c>
      <c r="D8" s="22"/>
    </row>
    <row r="9" ht="20.05" customHeight="1">
      <c r="B9" s="31"/>
      <c r="C9" s="20">
        <v>915</v>
      </c>
      <c r="D9" s="22"/>
    </row>
    <row r="10" ht="20.05" customHeight="1">
      <c r="B10" s="31"/>
      <c r="C10" s="20">
        <v>995</v>
      </c>
      <c r="D10" s="22"/>
    </row>
    <row r="11" ht="20.05" customHeight="1">
      <c r="B11" s="31"/>
      <c r="C11" s="20">
        <v>880</v>
      </c>
      <c r="D11" s="22"/>
    </row>
    <row r="12" ht="20.05" customHeight="1">
      <c r="B12" s="32">
        <v>2020</v>
      </c>
      <c r="C12" s="20">
        <v>800</v>
      </c>
      <c r="D12" s="22"/>
    </row>
    <row r="13" ht="20.05" customHeight="1">
      <c r="B13" s="31"/>
      <c r="C13" s="20">
        <v>795</v>
      </c>
      <c r="D13" s="22"/>
    </row>
    <row r="14" ht="20.05" customHeight="1">
      <c r="B14" s="31"/>
      <c r="C14" s="17">
        <v>659.5069580000001</v>
      </c>
      <c r="D14" s="22"/>
    </row>
    <row r="15" ht="20.05" customHeight="1">
      <c r="B15" s="31"/>
      <c r="C15" s="17">
        <v>800</v>
      </c>
      <c r="D15" s="22"/>
    </row>
    <row r="16" ht="20.05" customHeight="1">
      <c r="B16" s="32">
        <v>2021</v>
      </c>
      <c r="C16" s="17">
        <v>890.648071</v>
      </c>
      <c r="D16" s="22"/>
    </row>
    <row r="17" ht="20.05" customHeight="1">
      <c r="B17" s="31"/>
      <c r="C17" s="17">
        <v>1250</v>
      </c>
      <c r="D17" s="22"/>
    </row>
    <row r="18" ht="20.05" customHeight="1">
      <c r="B18" s="31"/>
      <c r="C18" s="17">
        <v>1380</v>
      </c>
      <c r="D18" s="22"/>
    </row>
    <row r="19" ht="20.05" customHeight="1">
      <c r="B19" s="31"/>
      <c r="C19" s="17">
        <v>1170</v>
      </c>
      <c r="D19" s="18">
        <f>C19</f>
        <v>1170</v>
      </c>
    </row>
    <row r="20" ht="20.05" customHeight="1">
      <c r="B20" s="31"/>
      <c r="C20" s="17"/>
      <c r="D20" s="18">
        <f>'Model'!F44</f>
        <v>1484.006483928740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