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<sst xmlns="http://schemas.openxmlformats.org/spreadsheetml/2006/main" uniqueCount="44">
  <si>
    <t>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</si>
  <si>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</si>
  <si>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</si>
  <si>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</si>
  <si>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</si>
  <si>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</si>
  <si>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</si>
  <si>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</si>
  <si>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</si>
  <si>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</si>
  <si>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</si>
  <si>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</si>
  <si>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</si>
  <si>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</si>
  <si>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</si>
  <si>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</si>
  <si>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</si>
  <si>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</si>
  <si>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</si>
  <si>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</si>
  <si>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</si>
  <si>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</si>
  <si>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</si>
  <si>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</si>
  <si>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</si>
  <si>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</si>
  <si>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</si>
  <si>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</si>
  <si>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</si>
  <si>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</si>
  <si>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</si>
  <si>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</si>
  <si>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</si>
  <si>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Current </t>
  </si>
  <si>
    <t xml:space="preserve">Target </t>
  </si>
  <si>
    <t xml:space="preserve">V target </t>
  </si>
  <si>
    <t xml:space="preserve">12 month growth </t>
  </si>
  <si>
    <t>Data</t>
  </si>
  <si>
    <t xml:space="preserve">Receipts </t>
  </si>
  <si>
    <t>Capex</t>
  </si>
  <si>
    <t xml:space="preserve">Lease </t>
  </si>
  <si>
    <t xml:space="preserve">Assets </t>
  </si>
  <si>
    <t xml:space="preserve">Cashflow costs </t>
  </si>
  <si>
    <t>AMOR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</si>
</sst>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59" fontId="0" borderId="4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615367</xdr:colOff>
      <xdr:row>0</xdr:row>
      <xdr:rowOff>265699</xdr:rowOff>
    </xdr:from>
    <xdr:to>
      <xdr:col>11</xdr:col>
      <xdr:colOff>942084</xdr:colOff>
      <xdr:row>40</xdr:row>
      <xdr:rowOff>11593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50767" y="265699"/>
          <a:ext cx="7794318" cy="100328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'Data '!C3/4</f>
        <v>0.167768595041322</v>
      </c>
      <c r="C3" s="7"/>
      <c r="D3" s="7"/>
      <c r="E3" s="8">
        <f>AVERAGE(B4:E4)</f>
        <v>0.055</v>
      </c>
    </row>
    <row r="4" ht="20.05" customHeight="1">
      <c r="A4" t="s" s="9">
        <v>4</v>
      </c>
      <c r="B4" s="10">
        <v>0.07000000000000001</v>
      </c>
      <c r="C4" s="11">
        <v>0.05</v>
      </c>
      <c r="D4" s="11">
        <v>0.05</v>
      </c>
      <c r="E4" s="11">
        <v>0.05</v>
      </c>
    </row>
    <row r="5" ht="20.05" customHeight="1">
      <c r="A5" t="s" s="9">
        <v>5</v>
      </c>
      <c r="B5" s="12">
        <f>'Data '!C4*(1+B4)</f>
        <v>108.177</v>
      </c>
      <c r="C5" s="13">
        <f>B5*(1+C4)</f>
        <v>113.58585</v>
      </c>
      <c r="D5" s="13">
        <f>C5*(1+D4)</f>
        <v>119.2651425</v>
      </c>
      <c r="E5" s="13">
        <f>D5*(1+E4)</f>
        <v>125.228399625</v>
      </c>
    </row>
    <row r="6" ht="20.05" customHeight="1">
      <c r="A6" t="s" s="9">
        <v>6</v>
      </c>
      <c r="B6" s="14">
        <f>'Data '!C20</f>
        <v>-0.713155291790307</v>
      </c>
      <c r="C6" s="15">
        <f>B6</f>
        <v>-0.713155291790307</v>
      </c>
      <c r="D6" s="15">
        <f>C6</f>
        <v>-0.713155291790307</v>
      </c>
      <c r="E6" s="15">
        <f>D6</f>
        <v>-0.713155291790307</v>
      </c>
    </row>
    <row r="7" ht="20.05" customHeight="1">
      <c r="A7" t="s" s="9">
        <v>7</v>
      </c>
      <c r="B7" s="16">
        <f>B5*B6</f>
        <v>-77.14700000000001</v>
      </c>
      <c r="C7" s="13">
        <f>C5*C6</f>
        <v>-81.00435</v>
      </c>
      <c r="D7" s="13">
        <f>D5*D6</f>
        <v>-85.0545675</v>
      </c>
      <c r="E7" s="13">
        <f>E5*E6</f>
        <v>-89.30729587499999</v>
      </c>
    </row>
    <row r="8" ht="20.05" customHeight="1">
      <c r="A8" t="s" s="9">
        <v>8</v>
      </c>
      <c r="B8" s="16">
        <f>-'Data '!C18</f>
        <v>-0.4</v>
      </c>
      <c r="C8" s="17">
        <f>B8</f>
        <v>-0.4</v>
      </c>
      <c r="D8" s="17">
        <f>C8</f>
        <v>-0.4</v>
      </c>
      <c r="E8" s="17">
        <f>D8</f>
        <v>-0.4</v>
      </c>
    </row>
    <row r="9" ht="20.05" customHeight="1">
      <c r="A9" t="s" s="9">
        <v>9</v>
      </c>
      <c r="B9" s="12">
        <f>B5+B7+B8</f>
        <v>30.63</v>
      </c>
      <c r="C9" s="13">
        <f>C5+C7+C8</f>
        <v>32.1815</v>
      </c>
      <c r="D9" s="13">
        <f>D5+D7+D8</f>
        <v>33.810575</v>
      </c>
      <c r="E9" s="13">
        <f>E5+E7+E8</f>
        <v>35.52110375</v>
      </c>
    </row>
    <row r="10" ht="20.05" customHeight="1">
      <c r="A10" t="s" s="9">
        <v>10</v>
      </c>
      <c r="B10" s="12">
        <f>B5+B7</f>
        <v>31.03</v>
      </c>
      <c r="C10" s="13">
        <f>C5+C7</f>
        <v>32.5815</v>
      </c>
      <c r="D10" s="13">
        <f>D5+D7</f>
        <v>34.210575</v>
      </c>
      <c r="E10" s="13">
        <f>E5+E7</f>
        <v>35.92110375</v>
      </c>
    </row>
    <row r="11" ht="20.05" customHeight="1">
      <c r="A11" t="s" s="9">
        <v>11</v>
      </c>
      <c r="B11" s="16">
        <f>SUM('Data '!C9)</f>
        <v>0</v>
      </c>
      <c r="C11" s="17">
        <f>B11</f>
        <v>0</v>
      </c>
      <c r="D11" s="17">
        <f>C11</f>
        <v>0</v>
      </c>
      <c r="E11" s="17">
        <f>D11</f>
        <v>0</v>
      </c>
    </row>
    <row r="12" ht="20.05" customHeight="1">
      <c r="A12" t="s" s="9">
        <v>12</v>
      </c>
      <c r="B12" s="16">
        <f>-'Data '!C25/20</f>
        <v>-4.245</v>
      </c>
      <c r="C12" s="17">
        <f>-B22/20</f>
        <v>-4.03275</v>
      </c>
      <c r="D12" s="17">
        <f>-C22/20</f>
        <v>-3.8311125</v>
      </c>
      <c r="E12" s="17">
        <f>-D22/20</f>
        <v>-3.639556875</v>
      </c>
    </row>
    <row r="13" ht="20.05" customHeight="1">
      <c r="A13" t="s" s="9">
        <v>13</v>
      </c>
      <c r="B13" s="12">
        <f>IF(B9&gt;0,-B9*0.6,0)</f>
        <v>-18.378</v>
      </c>
      <c r="C13" s="13">
        <f>IF(C9&gt;0,-C9*0.6,0)</f>
        <v>-19.3089</v>
      </c>
      <c r="D13" s="13">
        <f>IF(D9&gt;0,-D9*0.6,0)</f>
        <v>-20.286345</v>
      </c>
      <c r="E13" s="13">
        <f>IF(E9&gt;0,-E9*0.6,0)</f>
        <v>-21.31266225</v>
      </c>
    </row>
    <row r="14" ht="20.05" customHeight="1">
      <c r="A14" t="s" s="9">
        <v>14</v>
      </c>
      <c r="B14" s="16">
        <f>B10+B11+B12+B13</f>
        <v>8.407</v>
      </c>
      <c r="C14" s="13">
        <f>C10+C11+C12+C13</f>
        <v>9.239850000000001</v>
      </c>
      <c r="D14" s="13">
        <f>D10+D11+D12+D13</f>
        <v>10.0931175</v>
      </c>
      <c r="E14" s="13">
        <f>E10+E11+E12+E13</f>
        <v>10.968884625</v>
      </c>
    </row>
    <row r="15" ht="20.05" customHeight="1">
      <c r="A15" t="s" s="9">
        <v>15</v>
      </c>
      <c r="B15" s="18">
        <f>-MIN(0,B14)</f>
        <v>0</v>
      </c>
      <c r="C15" s="17">
        <f>-MIN(B23,C14)</f>
        <v>0</v>
      </c>
      <c r="D15" s="17">
        <f>-MIN(C23,D14)</f>
        <v>0</v>
      </c>
      <c r="E15" s="17">
        <f>-MIN(D23,E14)</f>
        <v>0</v>
      </c>
    </row>
    <row r="16" ht="20.05" customHeight="1">
      <c r="A16" t="s" s="9">
        <v>16</v>
      </c>
      <c r="B16" s="16">
        <f>'Data '!C16</f>
        <v>198.2</v>
      </c>
      <c r="C16" s="17">
        <f>B18</f>
        <v>206.607</v>
      </c>
      <c r="D16" s="17">
        <f>C18</f>
        <v>215.84685</v>
      </c>
      <c r="E16" s="17">
        <f>D18</f>
        <v>225.9399675</v>
      </c>
    </row>
    <row r="17" ht="20.05" customHeight="1">
      <c r="A17" t="s" s="9">
        <v>17</v>
      </c>
      <c r="B17" s="16">
        <f>B10+B11+B12+B13+B15</f>
        <v>8.407</v>
      </c>
      <c r="C17" s="13">
        <f>C10+C11+C12+C13+C15</f>
        <v>9.239850000000001</v>
      </c>
      <c r="D17" s="13">
        <f>D10+D11+D12+D13+D15</f>
        <v>10.0931175</v>
      </c>
      <c r="E17" s="13">
        <f>E10+E11+E12+E13+E15</f>
        <v>10.968884625</v>
      </c>
    </row>
    <row r="18" ht="20.05" customHeight="1">
      <c r="A18" t="s" s="9">
        <v>18</v>
      </c>
      <c r="B18" s="16">
        <f>B16+B17</f>
        <v>206.607</v>
      </c>
      <c r="C18" s="17">
        <f>C16+C17</f>
        <v>215.84685</v>
      </c>
      <c r="D18" s="17">
        <f>D16+D17</f>
        <v>225.9399675</v>
      </c>
      <c r="E18" s="17">
        <f>E16+E17</f>
        <v>236.908852125</v>
      </c>
    </row>
    <row r="19" ht="20.05" customHeight="1">
      <c r="A19" t="s" s="19">
        <v>19</v>
      </c>
      <c r="B19" s="20"/>
      <c r="C19" s="21"/>
      <c r="D19" s="21"/>
      <c r="E19" s="21"/>
    </row>
    <row r="20" ht="20.05" customHeight="1">
      <c r="A20" t="s" s="9">
        <v>20</v>
      </c>
      <c r="B20" s="12">
        <f>'Data '!C24+'Data '!C23-B11</f>
        <v>233</v>
      </c>
      <c r="C20" s="17">
        <f>B20-C11</f>
        <v>233</v>
      </c>
      <c r="D20" s="17">
        <f>C20-D11</f>
        <v>233</v>
      </c>
      <c r="E20" s="17">
        <f>D20-E11</f>
        <v>233</v>
      </c>
    </row>
    <row r="21" ht="20.05" customHeight="1">
      <c r="A21" t="s" s="9">
        <v>21</v>
      </c>
      <c r="B21" s="12">
        <f>'Data '!C23-B8</f>
        <v>5.9</v>
      </c>
      <c r="C21" s="17">
        <f>B21-C8</f>
        <v>6.3</v>
      </c>
      <c r="D21" s="17">
        <f>C21-D8</f>
        <v>6.7</v>
      </c>
      <c r="E21" s="17">
        <f>D21-E8</f>
        <v>7.1</v>
      </c>
    </row>
    <row r="22" ht="20.05" customHeight="1">
      <c r="A22" t="s" s="9">
        <v>12</v>
      </c>
      <c r="B22" s="16">
        <f>'Data '!C25+B12</f>
        <v>80.655</v>
      </c>
      <c r="C22" s="17">
        <f>B22+C12</f>
        <v>76.62224999999999</v>
      </c>
      <c r="D22" s="17">
        <f>C22+D12</f>
        <v>72.7911375</v>
      </c>
      <c r="E22" s="17">
        <f>D22+E12</f>
        <v>69.15158062499999</v>
      </c>
    </row>
    <row r="23" ht="20.05" customHeight="1">
      <c r="A23" t="s" s="9">
        <v>15</v>
      </c>
      <c r="B23" s="18">
        <f>B15</f>
        <v>0</v>
      </c>
      <c r="C23" s="17">
        <f>B23+C15</f>
        <v>0</v>
      </c>
      <c r="D23" s="17">
        <f>C23+D15</f>
        <v>0</v>
      </c>
      <c r="E23" s="17">
        <f>D23+E15</f>
        <v>0</v>
      </c>
    </row>
    <row r="24" ht="20.05" customHeight="1">
      <c r="A24" t="s" s="9">
        <v>13</v>
      </c>
      <c r="B24" s="16">
        <f>'Data '!C26+B13+B9</f>
        <v>353.052</v>
      </c>
      <c r="C24" s="17">
        <f>B24+C13+C9</f>
        <v>365.9246</v>
      </c>
      <c r="D24" s="17">
        <f>C24+D13+D9</f>
        <v>379.44883</v>
      </c>
      <c r="E24" s="17">
        <f>D24+E13+E9</f>
        <v>393.6572715</v>
      </c>
    </row>
    <row r="25" ht="20.05" customHeight="1">
      <c r="A25" t="s" s="9">
        <v>22</v>
      </c>
      <c r="B25" s="16">
        <f>B22+B23+B24-B18-(B20-B21)</f>
        <v>0</v>
      </c>
      <c r="C25" s="17">
        <f>C22+C23+C24-C18-(C20-C21)</f>
        <v>0</v>
      </c>
      <c r="D25" s="17">
        <f>D22+D23+D24-D18-(D20-D21)</f>
        <v>0</v>
      </c>
      <c r="E25" s="17">
        <f>E22+E23+E24-E18-(E20-E21)</f>
        <v>0</v>
      </c>
    </row>
    <row r="26" ht="20.05" customHeight="1">
      <c r="A26" t="s" s="9">
        <v>23</v>
      </c>
      <c r="B26" s="16">
        <f>B18-B22-B23</f>
        <v>125.952</v>
      </c>
      <c r="C26" s="17">
        <f>C18-C22-C23</f>
        <v>139.2246</v>
      </c>
      <c r="D26" s="17">
        <f>D18-D22-D23</f>
        <v>153.14883</v>
      </c>
      <c r="E26" s="17">
        <f>E18-E22-E23</f>
        <v>167.7572715</v>
      </c>
    </row>
    <row r="27" ht="20.05" customHeight="1">
      <c r="A27" t="s" s="19">
        <v>24</v>
      </c>
      <c r="B27" s="20"/>
      <c r="C27" s="21"/>
      <c r="D27" s="21"/>
      <c r="E27" s="21"/>
    </row>
    <row r="28" ht="20.05" customHeight="1">
      <c r="A28" t="s" s="9">
        <v>25</v>
      </c>
      <c r="B28" s="16">
        <f>'Data '!C32-(B12+B13)</f>
        <v>73.023</v>
      </c>
      <c r="C28" s="17">
        <f>B28-(C12+C15+C13)</f>
        <v>96.36465</v>
      </c>
      <c r="D28" s="17">
        <f>C28-(D12+D15+D13)</f>
        <v>120.4821075</v>
      </c>
      <c r="E28" s="17">
        <f>D28-(E12+E15+E13)</f>
        <v>145.434326625</v>
      </c>
    </row>
    <row r="29" ht="20.05" customHeight="1">
      <c r="A29" t="s" s="9">
        <v>26</v>
      </c>
      <c r="B29" s="20"/>
      <c r="C29" s="21"/>
      <c r="D29" s="21"/>
      <c r="E29" s="17">
        <v>4111</v>
      </c>
    </row>
    <row r="30" ht="20.05" customHeight="1">
      <c r="A30" t="s" s="9">
        <v>27</v>
      </c>
      <c r="B30" s="20"/>
      <c r="C30" s="21"/>
      <c r="D30" s="21"/>
      <c r="E30" s="22">
        <f>E29/(E18+E20-E21)</f>
        <v>8.88271687355207</v>
      </c>
    </row>
    <row r="31" ht="20.05" customHeight="1">
      <c r="A31" t="s" s="9">
        <v>28</v>
      </c>
      <c r="B31" s="20"/>
      <c r="C31" s="21"/>
      <c r="D31" s="21"/>
      <c r="E31" s="15">
        <f>-(B13+C13+D13+E13)/E29</f>
        <v>0.0192862824738506</v>
      </c>
    </row>
    <row r="32" ht="20.05" customHeight="1">
      <c r="A32" t="s" s="9">
        <v>3</v>
      </c>
      <c r="B32" s="20"/>
      <c r="C32" s="21"/>
      <c r="D32" s="21"/>
      <c r="E32" s="13">
        <f>SUM(B10:E11)</f>
        <v>133.74317875</v>
      </c>
    </row>
    <row r="33" ht="20.05" customHeight="1">
      <c r="A33" t="s" s="9">
        <v>29</v>
      </c>
      <c r="B33" s="20"/>
      <c r="C33" s="21"/>
      <c r="D33" s="21"/>
      <c r="E33" s="17">
        <f>'Data '!C24/E32</f>
        <v>1.70102133152716</v>
      </c>
    </row>
    <row r="34" ht="20.05" customHeight="1">
      <c r="A34" t="s" s="9">
        <v>24</v>
      </c>
      <c r="B34" s="20"/>
      <c r="C34" s="21"/>
      <c r="D34" s="21"/>
      <c r="E34" s="17">
        <f>E29/E32</f>
        <v>30.7380162369589</v>
      </c>
    </row>
    <row r="35" ht="20.05" customHeight="1">
      <c r="A35" t="s" s="9">
        <v>30</v>
      </c>
      <c r="B35" s="20"/>
      <c r="C35" s="21"/>
      <c r="D35" s="21"/>
      <c r="E35" s="17">
        <v>40</v>
      </c>
    </row>
    <row r="36" ht="20.05" customHeight="1">
      <c r="A36" t="s" s="9">
        <v>31</v>
      </c>
      <c r="B36" s="20"/>
      <c r="C36" s="21"/>
      <c r="D36" s="21"/>
      <c r="E36" s="13">
        <f>E32*E35</f>
        <v>5349.72715</v>
      </c>
    </row>
    <row r="37" ht="20.05" customHeight="1">
      <c r="A37" t="s" s="9">
        <v>32</v>
      </c>
      <c r="B37" s="20"/>
      <c r="C37" s="21"/>
      <c r="D37" s="21"/>
      <c r="E37" s="17">
        <f>E29/E38</f>
        <v>2.22216216216216</v>
      </c>
    </row>
    <row r="38" ht="20.05" customHeight="1">
      <c r="A38" t="s" s="9">
        <v>33</v>
      </c>
      <c r="B38" s="20"/>
      <c r="C38" s="21"/>
      <c r="D38" s="21"/>
      <c r="E38" s="17">
        <f>'Data '!D33</f>
        <v>1850</v>
      </c>
    </row>
    <row r="39" ht="20.05" customHeight="1">
      <c r="A39" t="s" s="9">
        <v>34</v>
      </c>
      <c r="B39" s="20"/>
      <c r="C39" s="21"/>
      <c r="D39" s="21"/>
      <c r="E39" s="17">
        <f>E36/E37</f>
        <v>2407.442283507660</v>
      </c>
    </row>
    <row r="40" ht="20.05" customHeight="1">
      <c r="A40" t="s" s="9">
        <v>35</v>
      </c>
      <c r="B40" s="20"/>
      <c r="C40" s="21"/>
      <c r="D40" s="21"/>
      <c r="E40" s="15">
        <f>E39/E38-1</f>
        <v>0.301320153247384</v>
      </c>
    </row>
    <row r="41" ht="20.05" customHeight="1">
      <c r="A41" t="s" s="9">
        <v>36</v>
      </c>
      <c r="B41" s="20"/>
      <c r="C41" s="21"/>
      <c r="D41" s="21"/>
      <c r="E41" s="15">
        <f>'Data '!C3</f>
        <v>0.671074380165289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3" customWidth="1"/>
    <col min="2" max="7" width="9.875" style="23" customWidth="1"/>
    <col min="8" max="16384" width="16.3516" style="23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</row>
    <row r="2" ht="20.25" customHeight="1">
      <c r="A2" t="s" s="24">
        <v>1</v>
      </c>
      <c r="B2" s="25">
        <v>2020</v>
      </c>
      <c r="C2" s="25">
        <v>2021</v>
      </c>
      <c r="D2" s="26"/>
      <c r="E2" s="25">
        <v>2022</v>
      </c>
      <c r="F2" s="26"/>
      <c r="G2" s="26"/>
    </row>
    <row r="3" ht="20.25" customHeight="1">
      <c r="A3" t="s" s="5">
        <v>4</v>
      </c>
      <c r="B3" s="6"/>
      <c r="C3" s="27">
        <f>C4/60.5-1</f>
        <v>0.671074380165289</v>
      </c>
      <c r="D3" s="27"/>
      <c r="E3" s="27"/>
      <c r="F3" s="27"/>
      <c r="G3" s="27"/>
    </row>
    <row r="4" ht="20.05" customHeight="1">
      <c r="A4" t="s" s="19">
        <v>5</v>
      </c>
      <c r="B4" s="16">
        <v>135.5</v>
      </c>
      <c r="C4" s="28">
        <v>101.1</v>
      </c>
      <c r="D4" s="28"/>
      <c r="E4" s="28"/>
      <c r="F4" s="28"/>
      <c r="G4" s="28"/>
    </row>
    <row r="5" ht="20.05" customHeight="1">
      <c r="A5" t="s" s="19">
        <v>5</v>
      </c>
      <c r="B5" s="16">
        <f>B4/2</f>
        <v>67.75</v>
      </c>
      <c r="C5" s="28">
        <f>C4</f>
        <v>101.1</v>
      </c>
      <c r="D5" s="28"/>
      <c r="E5" s="28"/>
      <c r="F5" s="28"/>
      <c r="G5" s="28"/>
    </row>
    <row r="6" ht="20.05" customHeight="1">
      <c r="A6" t="s" s="19">
        <v>30</v>
      </c>
      <c r="B6" s="16"/>
      <c r="C6" s="28"/>
      <c r="D6" s="28">
        <f>'Model'!B5</f>
        <v>108.177</v>
      </c>
      <c r="E6" s="28">
        <f>'Model'!C5</f>
        <v>113.58585</v>
      </c>
      <c r="F6" s="28">
        <f>'Model'!D5</f>
        <v>119.2651425</v>
      </c>
      <c r="G6" s="28">
        <f>'Model'!E5</f>
        <v>125.228399625</v>
      </c>
    </row>
    <row r="7" ht="20.05" customHeight="1">
      <c r="A7" t="s" s="19">
        <v>38</v>
      </c>
      <c r="B7" s="16">
        <v>129</v>
      </c>
      <c r="C7" s="28">
        <v>102</v>
      </c>
      <c r="D7" s="28"/>
      <c r="E7" s="28"/>
      <c r="F7" s="28"/>
      <c r="G7" s="28"/>
    </row>
    <row r="8" ht="20.05" customHeight="1">
      <c r="A8" t="s" s="19">
        <v>10</v>
      </c>
      <c r="B8" s="16">
        <v>18</v>
      </c>
      <c r="C8" s="28">
        <v>25.5</v>
      </c>
      <c r="D8" s="28"/>
      <c r="E8" s="28"/>
      <c r="F8" s="28"/>
      <c r="G8" s="28"/>
    </row>
    <row r="9" ht="20.05" customHeight="1">
      <c r="A9" t="s" s="19">
        <v>39</v>
      </c>
      <c r="B9" s="16"/>
      <c r="C9" s="28">
        <v>0</v>
      </c>
      <c r="D9" s="28"/>
      <c r="E9" s="28"/>
      <c r="F9" s="28"/>
      <c r="G9" s="28"/>
    </row>
    <row r="10" ht="20.05" customHeight="1">
      <c r="A10" t="s" s="19">
        <v>11</v>
      </c>
      <c r="B10" s="16">
        <v>38.4</v>
      </c>
      <c r="C10" s="28">
        <v>-89.8</v>
      </c>
      <c r="D10" s="28"/>
      <c r="E10" s="28"/>
      <c r="F10" s="28"/>
      <c r="G10" s="28"/>
    </row>
    <row r="11" ht="20.05" customHeight="1">
      <c r="A11" t="s" s="19">
        <v>40</v>
      </c>
      <c r="B11" s="16"/>
      <c r="C11" s="28">
        <v>0.3</v>
      </c>
      <c r="D11" s="28"/>
      <c r="E11" s="28"/>
      <c r="F11" s="28"/>
      <c r="G11" s="28"/>
    </row>
    <row r="12" ht="20.05" customHeight="1">
      <c r="A12" t="s" s="19">
        <v>12</v>
      </c>
      <c r="B12" s="16"/>
      <c r="C12" s="28"/>
      <c r="D12" s="28"/>
      <c r="E12" s="28"/>
      <c r="F12" s="28"/>
      <c r="G12" s="28"/>
    </row>
    <row r="13" ht="20.05" customHeight="1">
      <c r="A13" t="s" s="19">
        <v>13</v>
      </c>
      <c r="B13" s="16">
        <v>-50.4</v>
      </c>
      <c r="C13" s="28"/>
      <c r="D13" s="28"/>
      <c r="E13" s="28"/>
      <c r="F13" s="28"/>
      <c r="G13" s="28"/>
    </row>
    <row r="14" ht="20.05" customHeight="1">
      <c r="A14" t="s" s="19">
        <v>16</v>
      </c>
      <c r="B14" s="16">
        <v>211.2</v>
      </c>
      <c r="C14" s="28">
        <v>262.2</v>
      </c>
      <c r="D14" s="28"/>
      <c r="E14" s="28"/>
      <c r="F14" s="28"/>
      <c r="G14" s="28"/>
    </row>
    <row r="15" ht="20.05" customHeight="1">
      <c r="A15" t="s" s="19">
        <v>17</v>
      </c>
      <c r="B15" s="16">
        <f>B8+B10+B12+B13</f>
        <v>6</v>
      </c>
      <c r="C15" s="28">
        <f>C8+C10+C11+C12+C13</f>
        <v>-64</v>
      </c>
      <c r="D15" s="21"/>
      <c r="E15" s="21"/>
      <c r="F15" s="21"/>
      <c r="G15" s="21"/>
    </row>
    <row r="16" ht="20.05" customHeight="1">
      <c r="A16" t="s" s="19">
        <v>18</v>
      </c>
      <c r="B16" s="16">
        <f>B14+B15</f>
        <v>217.2</v>
      </c>
      <c r="C16" s="28">
        <f>C14+C15</f>
        <v>198.2</v>
      </c>
      <c r="D16" s="28">
        <f>D14+D15</f>
        <v>0</v>
      </c>
      <c r="E16" s="28">
        <f>E14+E15</f>
        <v>0</v>
      </c>
      <c r="F16" s="28">
        <f>F14+F15</f>
        <v>0</v>
      </c>
      <c r="G16" s="28">
        <f>G14+G15</f>
        <v>0</v>
      </c>
    </row>
    <row r="17" ht="20.05" customHeight="1">
      <c r="A17" s="29"/>
      <c r="B17" s="16"/>
      <c r="C17" s="28"/>
      <c r="D17" s="28"/>
      <c r="E17" s="28"/>
      <c r="F17" s="28"/>
      <c r="G17" s="28"/>
    </row>
    <row r="18" ht="20.05" customHeight="1">
      <c r="A18" t="s" s="19">
        <v>8</v>
      </c>
      <c r="B18" s="16">
        <v>0.8159999999999999</v>
      </c>
      <c r="C18" s="28">
        <v>0.4</v>
      </c>
      <c r="D18" s="28"/>
      <c r="E18" s="28"/>
      <c r="F18" s="28"/>
      <c r="G18" s="28"/>
    </row>
    <row r="19" ht="20.05" customHeight="1">
      <c r="A19" t="s" s="19">
        <v>9</v>
      </c>
      <c r="B19" s="16">
        <v>39.9</v>
      </c>
      <c r="C19" s="28">
        <v>28.6</v>
      </c>
      <c r="D19" s="28"/>
      <c r="E19" s="28"/>
      <c r="F19" s="28"/>
      <c r="G19" s="28"/>
    </row>
    <row r="20" ht="20.05" customHeight="1">
      <c r="A20" t="s" s="19">
        <v>6</v>
      </c>
      <c r="B20" s="14">
        <f>(B18+B19-B4)/B4</f>
        <v>-0.699512915129151</v>
      </c>
      <c r="C20" s="15">
        <f>(C19+C18-C4)/C4</f>
        <v>-0.713155291790307</v>
      </c>
      <c r="D20" s="15">
        <f>'Model'!B6</f>
        <v>-0.713155291790307</v>
      </c>
      <c r="E20" s="15"/>
      <c r="F20" s="15"/>
      <c r="G20" s="15"/>
    </row>
    <row r="21" ht="20.05" customHeight="1">
      <c r="A21" s="29"/>
      <c r="B21" s="16"/>
      <c r="C21" s="28"/>
      <c r="D21" s="28"/>
      <c r="E21" s="28"/>
      <c r="F21" s="28"/>
      <c r="G21" s="28"/>
    </row>
    <row r="22" ht="20.05" customHeight="1">
      <c r="A22" t="s" s="19">
        <v>41</v>
      </c>
      <c r="B22" s="16">
        <v>347.8</v>
      </c>
      <c r="C22" s="28">
        <v>425.7</v>
      </c>
      <c r="D22" s="28"/>
      <c r="E22" s="28"/>
      <c r="F22" s="28"/>
      <c r="G22" s="28"/>
    </row>
    <row r="23" ht="20.05" customHeight="1">
      <c r="A23" t="s" s="19">
        <v>21</v>
      </c>
      <c r="B23" s="12">
        <v>4.3</v>
      </c>
      <c r="C23" s="13">
        <v>5.5</v>
      </c>
      <c r="D23" s="13"/>
      <c r="E23" s="13"/>
      <c r="F23" s="13"/>
      <c r="G23" s="13"/>
    </row>
    <row r="24" ht="20.05" customHeight="1">
      <c r="A24" t="s" s="19">
        <v>20</v>
      </c>
      <c r="B24" s="16">
        <f>B22-B16</f>
        <v>130.6</v>
      </c>
      <c r="C24" s="28">
        <f>C22-C16</f>
        <v>227.5</v>
      </c>
      <c r="D24" s="21"/>
      <c r="E24" s="21"/>
      <c r="F24" s="21"/>
      <c r="G24" s="21"/>
    </row>
    <row r="25" ht="20.05" customHeight="1">
      <c r="A25" t="s" s="19">
        <v>12</v>
      </c>
      <c r="B25" s="16">
        <v>72.8</v>
      </c>
      <c r="C25" s="28">
        <v>84.90000000000001</v>
      </c>
      <c r="D25" s="21"/>
      <c r="E25" s="21"/>
      <c r="F25" s="21"/>
      <c r="G25" s="21"/>
    </row>
    <row r="26" ht="20.05" customHeight="1">
      <c r="A26" t="s" s="19">
        <v>13</v>
      </c>
      <c r="B26" s="16">
        <v>275.1</v>
      </c>
      <c r="C26" s="28">
        <v>340.8</v>
      </c>
      <c r="D26" s="21"/>
      <c r="E26" s="21"/>
      <c r="F26" s="21"/>
      <c r="G26" s="21"/>
    </row>
    <row r="27" ht="20.05" customHeight="1">
      <c r="A27" t="s" s="19">
        <v>22</v>
      </c>
      <c r="B27" s="16">
        <f>B25+B26-B16-B24</f>
        <v>0.1</v>
      </c>
      <c r="C27" s="28">
        <f>C25+C26-C16-C24</f>
        <v>0</v>
      </c>
      <c r="D27" s="21"/>
      <c r="E27" s="21"/>
      <c r="F27" s="21"/>
      <c r="G27" s="21"/>
    </row>
    <row r="28" ht="20.05" customHeight="1">
      <c r="A28" t="s" s="19">
        <v>23</v>
      </c>
      <c r="B28" s="16">
        <f>B16-B25</f>
        <v>144.4</v>
      </c>
      <c r="C28" s="28">
        <f>C16-C25</f>
        <v>113.3</v>
      </c>
      <c r="D28" s="21"/>
      <c r="E28" s="21"/>
      <c r="F28" s="21"/>
      <c r="G28" s="21"/>
    </row>
    <row r="29" ht="20.05" customHeight="1">
      <c r="A29" t="s" s="19">
        <v>30</v>
      </c>
      <c r="B29" s="14"/>
      <c r="C29" s="28">
        <f>C28</f>
        <v>113.3</v>
      </c>
      <c r="D29" s="28">
        <f>'Model'!E26</f>
        <v>167.7572715</v>
      </c>
      <c r="E29" s="21"/>
      <c r="F29" s="21"/>
      <c r="G29" s="21"/>
    </row>
    <row r="30" ht="20.05" customHeight="1">
      <c r="A30" t="s" s="19">
        <v>42</v>
      </c>
      <c r="B30" s="14">
        <f>(B8-B7)/B7</f>
        <v>-0.86046511627907</v>
      </c>
      <c r="C30" s="15">
        <f>(C8-C7)/C7</f>
        <v>-0.75</v>
      </c>
      <c r="D30" s="21"/>
      <c r="E30" s="21"/>
      <c r="F30" s="21"/>
      <c r="G30" s="21"/>
    </row>
    <row r="31" ht="20.05" customHeight="1">
      <c r="A31" t="s" s="19">
        <v>3</v>
      </c>
      <c r="B31" s="16">
        <f>SUM(B8:B11)/2</f>
        <v>28.2</v>
      </c>
      <c r="C31" s="28">
        <f>SUM(C8:C11)</f>
        <v>-64</v>
      </c>
      <c r="D31" s="28">
        <f>SUM('Model'!E10:E11)</f>
        <v>35.92110375</v>
      </c>
      <c r="E31" s="28"/>
      <c r="F31" s="28"/>
      <c r="G31" s="28"/>
    </row>
    <row r="32" ht="20.05" customHeight="1">
      <c r="A32" t="s" s="19">
        <v>25</v>
      </c>
      <c r="B32" s="16">
        <f>-(B12+B13)</f>
        <v>50.4</v>
      </c>
      <c r="C32" s="28">
        <f>-(C12+C13)+B32</f>
        <v>50.4</v>
      </c>
      <c r="D32" s="28">
        <f>'Model'!E28</f>
        <v>145.434326625</v>
      </c>
      <c r="E32" s="28"/>
      <c r="F32" s="28"/>
      <c r="G32" s="28"/>
    </row>
    <row r="33" ht="20.05" customHeight="1">
      <c r="A33" t="s" s="19">
        <v>43</v>
      </c>
      <c r="B33" s="16">
        <v>1465</v>
      </c>
      <c r="C33" s="28">
        <v>1850</v>
      </c>
      <c r="D33" s="28">
        <v>1850</v>
      </c>
      <c r="E33" s="28"/>
      <c r="F33" s="28"/>
      <c r="G33" s="28"/>
    </row>
    <row r="34" ht="20.05" customHeight="1">
      <c r="A34" t="s" s="19">
        <v>34</v>
      </c>
      <c r="B34" s="16"/>
      <c r="C34" s="28"/>
      <c r="D34" s="28">
        <f>D33</f>
        <v>1850</v>
      </c>
      <c r="E34" s="28">
        <f>'Model'!E39</f>
        <v>2407.442283507660</v>
      </c>
      <c r="F34" s="28"/>
      <c r="G34" s="28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