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<sst xmlns="http://schemas.openxmlformats.org/spreadsheetml/2006/main" uniqueCount="62">
  <si>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</si>
  <si>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$m</t>
  </si>
  <si>
    <t>4Q 2021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</si>
  <si>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</si>
  <si>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</si>
  <si>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</si>
  <si>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</si>
  <si>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</si>
  <si>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</si>
  <si>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</si>
  <si>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</si>
  <si>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</si>
  <si>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</si>
  <si>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</si>
  <si>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</si>
  <si>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</si>
  <si>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</si>
  <si>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</si>
  <si>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</si>
  <si>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</si>
  <si>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</si>
  <si>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</si>
  <si>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</si>
  <si>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</si>
  <si>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LT assets</t>
  </si>
  <si>
    <t xml:space="preserve">Equity 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</si>
  <si>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</si>
  <si>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</si>
  <si>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</si>
  <si>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</si>
  <si>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</si>
  <si>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</si>
  <si>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</si>
  <si>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</si>
  <si>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</si>
  <si>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</si>
  <si>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</si>
  <si>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</si>
  <si>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</si>
  <si>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</si>
  <si>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</si>
  <si>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</si>
  <si>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</si>
  <si>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Others</t>
  </si>
  <si>
    <t xml:space="preserve">Profit </t>
  </si>
  <si>
    <t>Sales growth</t>
  </si>
  <si>
    <t>Cashflow costs</t>
  </si>
  <si>
    <t>Receipts</t>
  </si>
  <si>
    <t>Capex</t>
  </si>
  <si>
    <t xml:space="preserve">Operating </t>
  </si>
  <si>
    <t xml:space="preserve">Investment </t>
  </si>
  <si>
    <t>Leases</t>
  </si>
  <si>
    <t xml:space="preserve">Free cashflow </t>
  </si>
  <si>
    <t>Capital</t>
  </si>
  <si>
    <t>$$m</t>
  </si>
  <si>
    <t>Cash</t>
  </si>
  <si>
    <t xml:space="preserve">Assets </t>
  </si>
  <si>
    <t xml:space="preserve">Other assets </t>
  </si>
  <si>
    <t>Balance</t>
  </si>
  <si>
    <t>Net cash</t>
  </si>
  <si>
    <t>Share price</t>
  </si>
  <si>
    <t>ADRO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</si>
</sst>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609018</xdr:colOff>
      <xdr:row>1</xdr:row>
      <xdr:rowOff>223894</xdr:rowOff>
    </xdr:from>
    <xdr:to>
      <xdr:col>13</xdr:col>
      <xdr:colOff>755300</xdr:colOff>
      <xdr:row>46</xdr:row>
      <xdr:rowOff>60168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95318" y="458209"/>
          <a:ext cx="8858483" cy="11396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21</xdr:col>
      <xdr:colOff>261851</xdr:colOff>
      <xdr:row>24</xdr:row>
      <xdr:rowOff>71538</xdr:rowOff>
    </xdr:from>
    <xdr:to>
      <xdr:col>21</xdr:col>
      <xdr:colOff>265133</xdr:colOff>
      <xdr:row>24</xdr:row>
      <xdr:rowOff>78103</xdr:rowOff>
    </xdr:to>
    <xdr:sp>
      <xdr:nvSpPr>
        <xdr:cNvPr id="4" name="Drawing"/>
        <xdr:cNvSpPr/>
      </xdr:nvSpPr>
      <xdr:spPr>
        <a:xfrm>
          <a:off x="20861251" y="6436778"/>
          <a:ext cx="3283" cy="656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21600"/>
              </a:moveTo>
              <a:cubicBezTo>
                <a:pt x="7200" y="14400"/>
                <a:pt x="14400" y="7200"/>
                <a:pt x="21600" y="0"/>
              </a:cubicBezTo>
            </a:path>
          </a:pathLst>
        </a:custGeom>
        <a:noFill/>
        <a:ln w="25400" cap="rnd">
          <a:solidFill>
            <a:srgbClr val="F93343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7578" style="1" customWidth="1"/>
    <col min="2" max="2" width="15.3438" style="1" customWidth="1"/>
    <col min="3" max="6" width="8.82031" style="1" customWidth="1"/>
    <col min="7" max="16384" width="16.3516" style="1" customWidth="1"/>
  </cols>
  <sheetData>
    <row r="1" ht="18.4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AVERAGE('Sales'!I27:I30)</f>
        <v>0.146866138512392</v>
      </c>
      <c r="D4" s="8"/>
      <c r="E4" s="8"/>
      <c r="F4" s="9">
        <f>AVERAGE(C5:F5)</f>
        <v>0.0375</v>
      </c>
    </row>
    <row r="5" ht="20.05" customHeight="1">
      <c r="B5" t="s" s="10">
        <v>4</v>
      </c>
      <c r="C5" s="11">
        <v>0.08</v>
      </c>
      <c r="D5" s="12">
        <v>-0.02</v>
      </c>
      <c r="E5" s="12">
        <v>0.04</v>
      </c>
      <c r="F5" s="12">
        <v>0.05</v>
      </c>
    </row>
    <row r="6" ht="20.05" customHeight="1">
      <c r="B6" t="s" s="10">
        <v>5</v>
      </c>
      <c r="C6" s="13">
        <f>'Sales'!C30*(1+C5)</f>
        <v>1086.804</v>
      </c>
      <c r="D6" s="14">
        <f>C6*(1+D5)</f>
        <v>1065.06792</v>
      </c>
      <c r="E6" s="14">
        <f>D6*(1+E5)</f>
        <v>1107.6706368</v>
      </c>
      <c r="F6" s="14">
        <f>E6*(1+F5)</f>
        <v>1163.05416864</v>
      </c>
    </row>
    <row r="7" ht="20.05" customHeight="1">
      <c r="B7" t="s" s="10">
        <v>6</v>
      </c>
      <c r="C7" s="15">
        <f>AVERAGE('Sales'!J30:K30)</f>
        <v>-0.660965326864518</v>
      </c>
      <c r="D7" s="16">
        <f>C7</f>
        <v>-0.660965326864518</v>
      </c>
      <c r="E7" s="16">
        <f>D7</f>
        <v>-0.660965326864518</v>
      </c>
      <c r="F7" s="16">
        <f>E7</f>
        <v>-0.660965326864518</v>
      </c>
    </row>
    <row r="8" ht="20.05" customHeight="1">
      <c r="B8" t="s" s="10">
        <v>7</v>
      </c>
      <c r="C8" s="17">
        <f>C7*C6</f>
        <v>-718.339761097666</v>
      </c>
      <c r="D8" s="18">
        <f>D7*D6</f>
        <v>-703.972965875712</v>
      </c>
      <c r="E8" s="18">
        <f>E7*E6</f>
        <v>-732.131884510741</v>
      </c>
      <c r="F8" s="18">
        <f>F7*F6</f>
        <v>-768.738478736278</v>
      </c>
    </row>
    <row r="9" ht="20.05" customHeight="1">
      <c r="B9" t="s" s="10">
        <v>8</v>
      </c>
      <c r="C9" s="17">
        <f>C6+C8</f>
        <v>368.464238902334</v>
      </c>
      <c r="D9" s="18">
        <f>D6+D8</f>
        <v>361.094954124288</v>
      </c>
      <c r="E9" s="18">
        <f>E6+E8</f>
        <v>375.538752289259</v>
      </c>
      <c r="F9" s="18">
        <f>F6+F8</f>
        <v>394.315689903722</v>
      </c>
    </row>
    <row r="10" ht="20.05" customHeight="1">
      <c r="B10" t="s" s="10">
        <v>9</v>
      </c>
      <c r="C10" s="19">
        <f>AVERAGE('Cashflow'!F30)</f>
        <v>-128.8</v>
      </c>
      <c r="D10" s="20">
        <f>C10</f>
        <v>-128.8</v>
      </c>
      <c r="E10" s="20">
        <f>D10</f>
        <v>-128.8</v>
      </c>
      <c r="F10" s="20">
        <f>E10</f>
        <v>-128.8</v>
      </c>
    </row>
    <row r="11" ht="20.05" customHeight="1">
      <c r="B11" t="s" s="10">
        <v>10</v>
      </c>
      <c r="C11" s="19">
        <f>C12+C13+C15</f>
        <v>-264.132119451167</v>
      </c>
      <c r="D11" s="20">
        <f>D12+D13+D15</f>
        <v>-253.462477062144</v>
      </c>
      <c r="E11" s="20">
        <f>E12+E13+E15</f>
        <v>-254.048626144630</v>
      </c>
      <c r="F11" s="20">
        <f>F12+F13+F15</f>
        <v>-257.133132451861</v>
      </c>
    </row>
    <row r="12" ht="20.05" customHeight="1">
      <c r="B12" t="s" s="10">
        <v>11</v>
      </c>
      <c r="C12" s="19">
        <f>-('Balance sheet'!G30)/20</f>
        <v>-139.7</v>
      </c>
      <c r="D12" s="20">
        <f>-C26/20</f>
        <v>-132.715</v>
      </c>
      <c r="E12" s="20">
        <f>-D26/20</f>
        <v>-126.07925</v>
      </c>
      <c r="F12" s="20">
        <f>-E26/20</f>
        <v>-119.7752875</v>
      </c>
    </row>
    <row r="13" ht="20.05" customHeight="1">
      <c r="B13" t="s" s="10">
        <v>12</v>
      </c>
      <c r="C13" s="19">
        <f>IF(C21&gt;0,-C21*0.5,0)</f>
        <v>-124.432119451167</v>
      </c>
      <c r="D13" s="20">
        <f>IF(D21&gt;0,-D21*0.5,0)</f>
        <v>-120.747477062144</v>
      </c>
      <c r="E13" s="20">
        <f>IF(E21&gt;0,-E21*0.5,0)</f>
        <v>-127.969376144630</v>
      </c>
      <c r="F13" s="20">
        <f>IF(F21&gt;0,-F21*0.5,0)</f>
        <v>-137.357844951861</v>
      </c>
    </row>
    <row r="14" ht="20.05" customHeight="1">
      <c r="B14" t="s" s="10">
        <v>13</v>
      </c>
      <c r="C14" s="17">
        <f>C9+C10+C12+C13+C16</f>
        <v>1486.532119451170</v>
      </c>
      <c r="D14" s="18">
        <f>D9+D10+D12+D13+D16</f>
        <v>1465.364596513310</v>
      </c>
      <c r="E14" s="18">
        <f>E9+E10+E12+E13+E16</f>
        <v>1458.054722657940</v>
      </c>
      <c r="F14" s="18">
        <f>F9+F10+F12+F13+F16</f>
        <v>1466.4372801098</v>
      </c>
    </row>
    <row r="15" ht="20.05" customHeight="1">
      <c r="B15" t="s" s="10">
        <v>14</v>
      </c>
      <c r="C15" s="19">
        <f>-MIN(0,C14)</f>
        <v>0</v>
      </c>
      <c r="D15" s="20">
        <f>-MIN(C27,D14)</f>
        <v>0</v>
      </c>
      <c r="E15" s="20">
        <f>-MIN(D27,E14)</f>
        <v>0</v>
      </c>
      <c r="F15" s="20">
        <f>-MIN(E27,F14)</f>
        <v>0</v>
      </c>
    </row>
    <row r="16" ht="20.05" customHeight="1">
      <c r="B16" t="s" s="10">
        <v>15</v>
      </c>
      <c r="C16" s="19">
        <f>'Balance sheet'!C30</f>
        <v>1511</v>
      </c>
      <c r="D16" s="20">
        <f>C18</f>
        <v>1486.532119451170</v>
      </c>
      <c r="E16" s="20">
        <f>D18</f>
        <v>1465.364596513310</v>
      </c>
      <c r="F16" s="20">
        <f>E18</f>
        <v>1458.054722657940</v>
      </c>
    </row>
    <row r="17" ht="20.05" customHeight="1">
      <c r="B17" t="s" s="10">
        <v>16</v>
      </c>
      <c r="C17" s="19">
        <f>C9+C10+C11</f>
        <v>-24.467880548833</v>
      </c>
      <c r="D17" s="20">
        <f>D9+D10+D11</f>
        <v>-21.167522937856</v>
      </c>
      <c r="E17" s="20">
        <f>E9+E10+E11</f>
        <v>-7.309873855371</v>
      </c>
      <c r="F17" s="20">
        <f>F9+F10+F11</f>
        <v>8.382557451861</v>
      </c>
    </row>
    <row r="18" ht="20.05" customHeight="1">
      <c r="B18" t="s" s="10">
        <v>17</v>
      </c>
      <c r="C18" s="19">
        <f>C16+C17</f>
        <v>1486.532119451170</v>
      </c>
      <c r="D18" s="20">
        <f>D16+D17</f>
        <v>1465.364596513310</v>
      </c>
      <c r="E18" s="20">
        <f>E16+E17</f>
        <v>1458.054722657940</v>
      </c>
      <c r="F18" s="20">
        <f>F16+F17</f>
        <v>1466.4372801098</v>
      </c>
    </row>
    <row r="19" ht="20.05" customHeight="1">
      <c r="B19" t="s" s="21">
        <v>18</v>
      </c>
      <c r="C19" s="22"/>
      <c r="D19" s="23"/>
      <c r="E19" s="23"/>
      <c r="F19" s="24"/>
    </row>
    <row r="20" ht="20.05" customHeight="1">
      <c r="B20" t="s" s="10">
        <v>19</v>
      </c>
      <c r="C20" s="19">
        <f>-AVERAGE('Sales'!E30)</f>
        <v>-119.6</v>
      </c>
      <c r="D20" s="20">
        <f>C20</f>
        <v>-119.6</v>
      </c>
      <c r="E20" s="20">
        <f>D20</f>
        <v>-119.6</v>
      </c>
      <c r="F20" s="20">
        <f>E20</f>
        <v>-119.6</v>
      </c>
    </row>
    <row r="21" ht="20.05" customHeight="1">
      <c r="B21" t="s" s="10">
        <v>20</v>
      </c>
      <c r="C21" s="19">
        <f>C6+C8+C20</f>
        <v>248.864238902334</v>
      </c>
      <c r="D21" s="20">
        <f>D6+D8+D20</f>
        <v>241.494954124288</v>
      </c>
      <c r="E21" s="20">
        <f>E6+E8+E20</f>
        <v>255.938752289259</v>
      </c>
      <c r="F21" s="20">
        <f>F6+F8+F20</f>
        <v>274.715689903722</v>
      </c>
    </row>
    <row r="22" ht="20.05" customHeight="1">
      <c r="B22" t="s" s="21">
        <v>21</v>
      </c>
      <c r="C22" s="22"/>
      <c r="D22" s="23"/>
      <c r="E22" s="23"/>
      <c r="F22" s="23"/>
    </row>
    <row r="23" ht="20.05" customHeight="1">
      <c r="B23" t="s" s="10">
        <v>22</v>
      </c>
      <c r="C23" s="19">
        <f>'Balance sheet'!E30+'Balance sheet'!F30-C10</f>
        <v>9744.799999999999</v>
      </c>
      <c r="D23" s="20">
        <f>C23-D10</f>
        <v>9873.6</v>
      </c>
      <c r="E23" s="20">
        <f>D23-E10</f>
        <v>10002.4</v>
      </c>
      <c r="F23" s="20">
        <f>E23-F10</f>
        <v>10131.2</v>
      </c>
    </row>
    <row r="24" ht="20.05" customHeight="1">
      <c r="B24" t="s" s="10">
        <v>23</v>
      </c>
      <c r="C24" s="19">
        <f>'Balance sheet'!F30-C20</f>
        <v>4128.6</v>
      </c>
      <c r="D24" s="20">
        <f>C24-D20</f>
        <v>4248.2</v>
      </c>
      <c r="E24" s="20">
        <f>D24-E20</f>
        <v>4367.8</v>
      </c>
      <c r="F24" s="20">
        <f>E24-F20</f>
        <v>4487.4</v>
      </c>
    </row>
    <row r="25" ht="20.05" customHeight="1">
      <c r="B25" t="s" s="10">
        <v>24</v>
      </c>
      <c r="C25" s="19">
        <f>C23-C24</f>
        <v>5616.2</v>
      </c>
      <c r="D25" s="20">
        <f>D23-D24</f>
        <v>5625.4</v>
      </c>
      <c r="E25" s="20">
        <f>E23-E24</f>
        <v>5634.6</v>
      </c>
      <c r="F25" s="20">
        <f>F23-F24</f>
        <v>5643.8</v>
      </c>
    </row>
    <row r="26" ht="20.05" customHeight="1">
      <c r="B26" t="s" s="10">
        <v>11</v>
      </c>
      <c r="C26" s="19">
        <f>'Balance sheet'!G30+C12</f>
        <v>2654.3</v>
      </c>
      <c r="D26" s="20">
        <f>C26+D12</f>
        <v>2521.585</v>
      </c>
      <c r="E26" s="20">
        <f>D26+E12</f>
        <v>2395.50575</v>
      </c>
      <c r="F26" s="20">
        <f>E26+F12</f>
        <v>2275.7304625</v>
      </c>
    </row>
    <row r="27" ht="20.05" customHeight="1">
      <c r="B27" t="s" s="10">
        <v>14</v>
      </c>
      <c r="C27" s="19">
        <f>C15</f>
        <v>0</v>
      </c>
      <c r="D27" s="20">
        <f>C27+D15</f>
        <v>0</v>
      </c>
      <c r="E27" s="20">
        <f>D27+E15</f>
        <v>0</v>
      </c>
      <c r="F27" s="20">
        <f>E27+F15</f>
        <v>0</v>
      </c>
    </row>
    <row r="28" ht="20.05" customHeight="1">
      <c r="B28" t="s" s="10">
        <v>25</v>
      </c>
      <c r="C28" s="19">
        <f>'Balance sheet'!H30+C21+C13</f>
        <v>4448.432119451170</v>
      </c>
      <c r="D28" s="20">
        <f>C28+D21+D13</f>
        <v>4569.179596513310</v>
      </c>
      <c r="E28" s="20">
        <f>D28+E21+E13</f>
        <v>4697.148972657940</v>
      </c>
      <c r="F28" s="20">
        <f>E28+F21+F13</f>
        <v>4834.5068176098</v>
      </c>
    </row>
    <row r="29" ht="20.05" customHeight="1">
      <c r="B29" t="s" s="10">
        <v>26</v>
      </c>
      <c r="C29" s="19">
        <f>C26+C27+C28-C18-C25</f>
        <v>0</v>
      </c>
      <c r="D29" s="20">
        <f>D26+D27+D28-D18-D25</f>
        <v>0</v>
      </c>
      <c r="E29" s="20">
        <f>E26+E27+E28-E18-E25</f>
        <v>0</v>
      </c>
      <c r="F29" s="20">
        <f>F26+F27+F28-F18-F25</f>
        <v>0</v>
      </c>
    </row>
    <row r="30" ht="20.05" customHeight="1">
      <c r="B30" t="s" s="10">
        <v>27</v>
      </c>
      <c r="C30" s="19">
        <f>C18-C26-C27</f>
        <v>-1167.767880548830</v>
      </c>
      <c r="D30" s="20">
        <f>D18-D26-D27</f>
        <v>-1056.220403486690</v>
      </c>
      <c r="E30" s="20">
        <f>E18-E26-E27</f>
        <v>-937.451027342060</v>
      </c>
      <c r="F30" s="20">
        <f>F18-F26-F27</f>
        <v>-809.2931823901999</v>
      </c>
    </row>
    <row r="31" ht="20.05" customHeight="1">
      <c r="B31" t="s" s="10">
        <v>28</v>
      </c>
      <c r="C31" s="19"/>
      <c r="D31" s="20"/>
      <c r="E31" s="20"/>
      <c r="F31" s="20"/>
    </row>
    <row r="32" ht="20.05" customHeight="1">
      <c r="B32" t="s" s="10">
        <v>29</v>
      </c>
      <c r="C32" s="19"/>
      <c r="D32" s="20"/>
      <c r="E32" s="20"/>
      <c r="F32" s="20">
        <v>14</v>
      </c>
    </row>
    <row r="33" ht="20.05" customHeight="1">
      <c r="B33" t="s" s="10">
        <v>30</v>
      </c>
      <c r="C33" s="19">
        <f>'Cashflow'!M30-C11</f>
        <v>1862.665119451170</v>
      </c>
      <c r="D33" s="20">
        <f>C33-D11</f>
        <v>2116.127596513310</v>
      </c>
      <c r="E33" s="20">
        <f>D33-E11</f>
        <v>2370.176222657940</v>
      </c>
      <c r="F33" s="20">
        <f>E33-F11</f>
        <v>2627.3093551098</v>
      </c>
    </row>
    <row r="34" ht="20.05" customHeight="1">
      <c r="B34" t="s" s="10">
        <v>31</v>
      </c>
      <c r="C34" s="19"/>
      <c r="D34" s="20"/>
      <c r="E34" s="20"/>
      <c r="F34" s="20">
        <f>56140/F32</f>
        <v>4010</v>
      </c>
    </row>
    <row r="35" ht="20.05" customHeight="1">
      <c r="B35" t="s" s="10">
        <v>32</v>
      </c>
      <c r="C35" s="19"/>
      <c r="D35" s="20"/>
      <c r="E35" s="20"/>
      <c r="F35" s="25">
        <f>F34/(F18+F25)</f>
        <v>0.5639755527171491</v>
      </c>
    </row>
    <row r="36" ht="20.05" customHeight="1">
      <c r="B36" t="s" s="10">
        <v>33</v>
      </c>
      <c r="C36" s="19"/>
      <c r="D36" s="20"/>
      <c r="E36" s="20"/>
      <c r="F36" s="16">
        <f>-(C13+D13+E13+F13)/F34</f>
        <v>0.127308433319153</v>
      </c>
    </row>
    <row r="37" ht="20.05" customHeight="1">
      <c r="B37" t="s" s="10">
        <v>3</v>
      </c>
      <c r="C37" s="19"/>
      <c r="D37" s="20"/>
      <c r="E37" s="20"/>
      <c r="F37" s="20">
        <f>SUM(C9:F10)</f>
        <v>984.213635219603</v>
      </c>
    </row>
    <row r="38" ht="20.05" customHeight="1">
      <c r="B38" t="s" s="10">
        <v>34</v>
      </c>
      <c r="C38" s="19"/>
      <c r="D38" s="20"/>
      <c r="E38" s="20"/>
      <c r="F38" s="20">
        <f>'Balance sheet'!E30/F37</f>
        <v>5.69693387630109</v>
      </c>
    </row>
    <row r="39" ht="20.05" customHeight="1">
      <c r="B39" t="s" s="10">
        <v>28</v>
      </c>
      <c r="C39" s="19"/>
      <c r="D39" s="20"/>
      <c r="E39" s="20"/>
      <c r="F39" s="20">
        <f>F34/F37</f>
        <v>4.07431868092873</v>
      </c>
    </row>
    <row r="40" ht="20.05" customHeight="1">
      <c r="B40" t="s" s="10">
        <v>35</v>
      </c>
      <c r="C40" s="19"/>
      <c r="D40" s="20"/>
      <c r="E40" s="20"/>
      <c r="F40" s="20">
        <v>12</v>
      </c>
    </row>
    <row r="41" ht="20.05" customHeight="1">
      <c r="B41" t="s" s="10">
        <v>36</v>
      </c>
      <c r="C41" s="19"/>
      <c r="D41" s="20"/>
      <c r="E41" s="20"/>
      <c r="F41" s="20">
        <f>F37*F40</f>
        <v>11810.5636226352</v>
      </c>
    </row>
    <row r="42" ht="20.05" customHeight="1">
      <c r="B42" t="s" s="10">
        <v>37</v>
      </c>
      <c r="C42" s="19"/>
      <c r="D42" s="20"/>
      <c r="E42" s="20"/>
      <c r="F42" s="20">
        <f>56140/F44</f>
        <v>31.988603988604</v>
      </c>
    </row>
    <row r="43" ht="20.05" customHeight="1">
      <c r="B43" t="s" s="10">
        <v>38</v>
      </c>
      <c r="C43" s="19"/>
      <c r="D43" s="20"/>
      <c r="E43" s="20"/>
      <c r="F43" s="20">
        <f>(F41/F42)*F32</f>
        <v>5168.962383472510</v>
      </c>
    </row>
    <row r="44" ht="20.05" customHeight="1">
      <c r="B44" t="s" s="10">
        <v>39</v>
      </c>
      <c r="C44" s="19"/>
      <c r="D44" s="20"/>
      <c r="E44" s="20"/>
      <c r="F44" s="20">
        <f>'Share price'!C19</f>
        <v>1755</v>
      </c>
    </row>
    <row r="45" ht="20.05" customHeight="1">
      <c r="B45" t="s" s="10">
        <v>40</v>
      </c>
      <c r="C45" s="19"/>
      <c r="D45" s="20"/>
      <c r="E45" s="20"/>
      <c r="F45" s="16">
        <f>F43/F44-1</f>
        <v>1.94527771138035</v>
      </c>
    </row>
    <row r="46" ht="20.05" customHeight="1">
      <c r="B46" t="s" s="10">
        <v>41</v>
      </c>
      <c r="C46" s="19"/>
      <c r="D46" s="20"/>
      <c r="E46" s="20"/>
      <c r="F46" s="16">
        <f>'Sales'!C30/'Sales'!C26-1</f>
        <v>0.701267962806424</v>
      </c>
    </row>
    <row r="47" ht="20.05" customHeight="1">
      <c r="B47" t="s" s="10">
        <v>42</v>
      </c>
      <c r="C47" s="19"/>
      <c r="D47" s="20"/>
      <c r="E47" s="20"/>
      <c r="F47" s="16">
        <f>('Sales'!D22+'Sales'!D23+'Sales'!D24+'Sales'!D25+'Sales'!D26+'Sales'!D27+'Sales'!D28+'Sales'!D29)/('Sales'!C22+'Sales'!C23+'Sales'!C24+'Sales'!C25+'Sales'!C26+'Sales'!C27+'Sales'!C28+'Sales'!C29)-1</f>
        <v>0.088144918509291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67188" style="26" customWidth="1"/>
    <col min="2" max="2" width="8.10938" style="26" customWidth="1"/>
    <col min="3" max="12" width="10.2344" style="26" customWidth="1"/>
    <col min="13" max="16384" width="16.3516" style="26" customWidth="1"/>
  </cols>
  <sheetData>
    <row r="1" ht="17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5</v>
      </c>
      <c r="D3" t="s" s="4">
        <v>35</v>
      </c>
      <c r="E3" t="s" s="4">
        <v>23</v>
      </c>
      <c r="F3" t="s" s="4">
        <v>43</v>
      </c>
      <c r="G3" t="s" s="4">
        <v>44</v>
      </c>
      <c r="H3" t="s" s="4">
        <v>44</v>
      </c>
      <c r="I3" t="s" s="4">
        <v>45</v>
      </c>
      <c r="J3" t="s" s="4">
        <v>6</v>
      </c>
      <c r="K3" t="s" s="4">
        <v>46</v>
      </c>
      <c r="L3" t="s" s="4">
        <v>46</v>
      </c>
    </row>
    <row r="4" ht="20.25" customHeight="1">
      <c r="B4" s="27">
        <v>2015</v>
      </c>
      <c r="C4" s="28">
        <v>711</v>
      </c>
      <c r="D4" s="29"/>
      <c r="E4" s="30">
        <v>77</v>
      </c>
      <c r="F4" s="30"/>
      <c r="G4" s="30">
        <v>59</v>
      </c>
      <c r="H4" s="31"/>
      <c r="I4" s="9"/>
      <c r="J4" s="32">
        <f>(E4+F4+G4-C4)/C4</f>
        <v>-0.808720112517581</v>
      </c>
      <c r="K4" s="9"/>
      <c r="L4" s="32"/>
    </row>
    <row r="5" ht="20.05" customHeight="1">
      <c r="B5" s="33"/>
      <c r="C5" s="19">
        <v>688</v>
      </c>
      <c r="D5" s="23"/>
      <c r="E5" s="20">
        <v>73</v>
      </c>
      <c r="F5" s="20"/>
      <c r="G5" s="20">
        <v>60</v>
      </c>
      <c r="H5" s="20"/>
      <c r="I5" s="16">
        <f>C5/C4-1</f>
        <v>-0.0323488045007032</v>
      </c>
      <c r="J5" s="16">
        <f>(E5+F5+G5-C5)/C5</f>
        <v>-0.806686046511628</v>
      </c>
      <c r="K5" s="12"/>
      <c r="L5" s="16"/>
    </row>
    <row r="6" ht="20.05" customHeight="1">
      <c r="B6" s="33"/>
      <c r="C6" s="19">
        <v>713</v>
      </c>
      <c r="D6" s="23"/>
      <c r="E6" s="20">
        <v>78</v>
      </c>
      <c r="F6" s="20"/>
      <c r="G6" s="20">
        <v>62</v>
      </c>
      <c r="H6" s="20"/>
      <c r="I6" s="16">
        <f>C6/C5-1</f>
        <v>0.0363372093023256</v>
      </c>
      <c r="J6" s="16">
        <f>(E6+F6+G6-C6)/C6</f>
        <v>-0.803646563814867</v>
      </c>
      <c r="K6" s="12"/>
      <c r="L6" s="16"/>
    </row>
    <row r="7" ht="20.05" customHeight="1">
      <c r="B7" s="33"/>
      <c r="C7" s="19">
        <v>572</v>
      </c>
      <c r="D7" s="23"/>
      <c r="E7" s="20">
        <v>82</v>
      </c>
      <c r="F7" s="20"/>
      <c r="G7" s="20">
        <v>-30</v>
      </c>
      <c r="H7" s="20">
        <f>AVERAGE(G4:G7)</f>
        <v>37.75</v>
      </c>
      <c r="I7" s="16">
        <f>C7/C6-1</f>
        <v>-0.197755960729313</v>
      </c>
      <c r="J7" s="16">
        <f>(E7+F7+G7-C7)/C7</f>
        <v>-0.9090909090909089</v>
      </c>
      <c r="K7" s="12"/>
      <c r="L7" s="16"/>
    </row>
    <row r="8" ht="20.05" customHeight="1">
      <c r="B8" s="34">
        <v>2016</v>
      </c>
      <c r="C8" s="19">
        <v>586</v>
      </c>
      <c r="D8" s="23"/>
      <c r="E8" s="20">
        <v>76</v>
      </c>
      <c r="F8" s="20"/>
      <c r="G8" s="20">
        <v>61</v>
      </c>
      <c r="H8" s="20">
        <f>AVERAGE(G5:G8)</f>
        <v>38.25</v>
      </c>
      <c r="I8" s="16">
        <f>C8/C7-1</f>
        <v>0.0244755244755245</v>
      </c>
      <c r="J8" s="16">
        <f>(E8+F8+G8-C8)/C8</f>
        <v>-0.766211604095563</v>
      </c>
      <c r="K8" s="16"/>
      <c r="L8" s="16"/>
    </row>
    <row r="9" ht="20.05" customHeight="1">
      <c r="B9" s="33"/>
      <c r="C9" s="19">
        <v>590</v>
      </c>
      <c r="D9" s="23"/>
      <c r="E9" s="20">
        <v>81</v>
      </c>
      <c r="F9" s="20"/>
      <c r="G9" s="20">
        <v>62</v>
      </c>
      <c r="H9" s="20">
        <f>AVERAGE(G6:G9)</f>
        <v>38.75</v>
      </c>
      <c r="I9" s="16">
        <f>C9/C8-1</f>
        <v>0.0068259385665529</v>
      </c>
      <c r="J9" s="16">
        <f>(E9+F9+G9-C9)/C9</f>
        <v>-0.757627118644068</v>
      </c>
      <c r="K9" s="16"/>
      <c r="L9" s="16"/>
    </row>
    <row r="10" ht="20.05" customHeight="1">
      <c r="B10" s="33"/>
      <c r="C10" s="19">
        <v>602</v>
      </c>
      <c r="D10" s="23"/>
      <c r="E10" s="20">
        <v>79</v>
      </c>
      <c r="F10" s="20"/>
      <c r="G10" s="20">
        <v>87</v>
      </c>
      <c r="H10" s="20">
        <f>AVERAGE(G7:G10)</f>
        <v>45</v>
      </c>
      <c r="I10" s="16">
        <f>C10/C9-1</f>
        <v>0.0203389830508475</v>
      </c>
      <c r="J10" s="16">
        <f>(E10+F10+G10-C10)/C10</f>
        <v>-0.724252491694352</v>
      </c>
      <c r="K10" s="16"/>
      <c r="L10" s="16"/>
    </row>
    <row r="11" ht="20.05" customHeight="1">
      <c r="B11" s="33"/>
      <c r="C11" s="19">
        <v>746</v>
      </c>
      <c r="D11" s="23"/>
      <c r="E11" s="20">
        <v>86</v>
      </c>
      <c r="F11" s="20"/>
      <c r="G11" s="20">
        <v>131</v>
      </c>
      <c r="H11" s="20">
        <f>AVERAGE(G8:G11)</f>
        <v>85.25</v>
      </c>
      <c r="I11" s="16">
        <f>C11/C10-1</f>
        <v>0.239202657807309</v>
      </c>
      <c r="J11" s="16">
        <f>(E11+F11+G11-C11)/C11</f>
        <v>-0.70911528150134</v>
      </c>
      <c r="K11" s="16"/>
      <c r="L11" s="16"/>
    </row>
    <row r="12" ht="20.05" customHeight="1">
      <c r="B12" s="34">
        <v>2017</v>
      </c>
      <c r="C12" s="19">
        <v>727</v>
      </c>
      <c r="D12" s="23"/>
      <c r="E12" s="20">
        <v>80</v>
      </c>
      <c r="F12" s="20"/>
      <c r="G12" s="20">
        <v>110</v>
      </c>
      <c r="H12" s="20">
        <f>AVERAGE(G9:G12)</f>
        <v>97.5</v>
      </c>
      <c r="I12" s="16">
        <f>C12/C11-1</f>
        <v>-0.0254691689008043</v>
      </c>
      <c r="J12" s="16">
        <f>(E12+F12+G12-C12)/C12</f>
        <v>-0.7386519944979369</v>
      </c>
      <c r="K12" s="16"/>
      <c r="L12" s="16">
        <f>('Cashflow'!E12-'Cashflow'!C12)/'Cashflow'!C12</f>
        <v>-0.718826405867971</v>
      </c>
    </row>
    <row r="13" ht="20.05" customHeight="1">
      <c r="B13" s="33"/>
      <c r="C13" s="19">
        <v>822</v>
      </c>
      <c r="D13" s="23"/>
      <c r="E13" s="20">
        <v>83</v>
      </c>
      <c r="F13" s="20"/>
      <c r="G13" s="20">
        <v>139</v>
      </c>
      <c r="H13" s="20">
        <f>AVERAGE(G10:G13)</f>
        <v>116.75</v>
      </c>
      <c r="I13" s="16">
        <f>C13/C12-1</f>
        <v>0.130674002751032</v>
      </c>
      <c r="J13" s="16">
        <f>(E13+F13+G13-C13)/C13</f>
        <v>-0.72992700729927</v>
      </c>
      <c r="K13" s="16"/>
      <c r="L13" s="16">
        <f>('Cashflow'!E13-'Cashflow'!C13)/'Cashflow'!C13</f>
        <v>-0.718826405867971</v>
      </c>
    </row>
    <row r="14" ht="20.05" customHeight="1">
      <c r="B14" s="33"/>
      <c r="C14" s="19">
        <v>890</v>
      </c>
      <c r="D14" s="23"/>
      <c r="E14" s="20">
        <v>83</v>
      </c>
      <c r="F14" s="20"/>
      <c r="G14" s="20">
        <v>165</v>
      </c>
      <c r="H14" s="20">
        <f>AVERAGE(G11:G14)</f>
        <v>136.25</v>
      </c>
      <c r="I14" s="16">
        <f>C14/C13-1</f>
        <v>0.0827250608272506</v>
      </c>
      <c r="J14" s="16">
        <f>(E14+F14+G14-C14)/C14</f>
        <v>-0.721348314606742</v>
      </c>
      <c r="K14" s="16"/>
      <c r="L14" s="16">
        <f>('Cashflow'!E14-'Cashflow'!C14)/'Cashflow'!C14</f>
        <v>-0.563569682151589</v>
      </c>
    </row>
    <row r="15" ht="20.05" customHeight="1">
      <c r="B15" s="33"/>
      <c r="C15" s="19">
        <v>819</v>
      </c>
      <c r="D15" s="23"/>
      <c r="E15" s="20">
        <v>76</v>
      </c>
      <c r="F15" s="20"/>
      <c r="G15" s="20">
        <v>122</v>
      </c>
      <c r="H15" s="20">
        <f>AVERAGE(G12:G15)</f>
        <v>134</v>
      </c>
      <c r="I15" s="16">
        <f>C15/C14-1</f>
        <v>-0.07977528089887639</v>
      </c>
      <c r="J15" s="16">
        <f>(E15+F15+G15-C15)/C15</f>
        <v>-0.758241758241758</v>
      </c>
      <c r="K15" s="16"/>
      <c r="L15" s="16">
        <f>('Cashflow'!E15-'Cashflow'!C15)/'Cashflow'!C15</f>
        <v>-0.954767726161369</v>
      </c>
    </row>
    <row r="16" ht="20.05" customHeight="1">
      <c r="B16" s="34">
        <v>2018</v>
      </c>
      <c r="C16" s="19">
        <v>764</v>
      </c>
      <c r="D16" s="23"/>
      <c r="E16" s="20">
        <v>92</v>
      </c>
      <c r="F16" s="20"/>
      <c r="G16" s="20">
        <v>88</v>
      </c>
      <c r="H16" s="20">
        <f>AVERAGE(G13:G16)</f>
        <v>128.5</v>
      </c>
      <c r="I16" s="16">
        <f>C16/C15-1</f>
        <v>-0.06715506715506719</v>
      </c>
      <c r="J16" s="16">
        <f>(E16+F16+G16-C16)/C16</f>
        <v>-0.764397905759162</v>
      </c>
      <c r="K16" s="16">
        <f>AVERAGE(L13:L16)</f>
        <v>-0.750929561850507</v>
      </c>
      <c r="L16" s="16">
        <f>('Cashflow'!E16-'Cashflow'!C16)/'Cashflow'!C16</f>
        <v>-0.7665544332211</v>
      </c>
    </row>
    <row r="17" ht="20.05" customHeight="1">
      <c r="B17" s="33"/>
      <c r="C17" s="19">
        <v>846</v>
      </c>
      <c r="D17" s="23"/>
      <c r="E17" s="20">
        <v>82</v>
      </c>
      <c r="F17" s="20"/>
      <c r="G17" s="20">
        <v>136</v>
      </c>
      <c r="H17" s="20">
        <f>AVERAGE(G14:G17)</f>
        <v>127.75</v>
      </c>
      <c r="I17" s="16">
        <f>C17/C16-1</f>
        <v>0.107329842931937</v>
      </c>
      <c r="J17" s="16">
        <f>(E17+F17+G17-C17)/C17</f>
        <v>-0.742316784869976</v>
      </c>
      <c r="K17" s="16">
        <f>AVERAGE(L14:L17)</f>
        <v>-0.735364374524929</v>
      </c>
      <c r="L17" s="16">
        <f>('Cashflow'!E17-'Cashflow'!C17)/'Cashflow'!C17</f>
        <v>-0.656565656565657</v>
      </c>
    </row>
    <row r="18" ht="20.05" customHeight="1">
      <c r="B18" s="33"/>
      <c r="C18" s="19">
        <v>1057</v>
      </c>
      <c r="D18" s="23"/>
      <c r="E18" s="20">
        <v>87</v>
      </c>
      <c r="F18" s="20"/>
      <c r="G18" s="20">
        <v>128</v>
      </c>
      <c r="H18" s="20">
        <f>AVERAGE(G15:G18)</f>
        <v>118.5</v>
      </c>
      <c r="I18" s="16">
        <f>C18/C17-1</f>
        <v>0.249408983451537</v>
      </c>
      <c r="J18" s="16">
        <f>(E18+F18+G18-C18)/C18</f>
        <v>-0.7965941343424791</v>
      </c>
      <c r="K18" s="16">
        <f>AVERAGE(L15:L18)</f>
        <v>-0.7459871055021829</v>
      </c>
      <c r="L18" s="16">
        <f>('Cashflow'!E18-'Cashflow'!C18)/'Cashflow'!C18</f>
        <v>-0.606060606060606</v>
      </c>
    </row>
    <row r="19" ht="20.05" customHeight="1">
      <c r="B19" s="33"/>
      <c r="C19" s="19">
        <v>953</v>
      </c>
      <c r="D19" s="23"/>
      <c r="E19" s="20">
        <v>77</v>
      </c>
      <c r="F19" s="20"/>
      <c r="G19" s="20">
        <v>126</v>
      </c>
      <c r="H19" s="20">
        <f>AVERAGE(G16:G19)</f>
        <v>119.5</v>
      </c>
      <c r="I19" s="16">
        <f>C19/C18-1</f>
        <v>-0.0983916745506149</v>
      </c>
      <c r="J19" s="16">
        <f>(E19+F19+G19-C19)/C19</f>
        <v>-0.786988457502623</v>
      </c>
      <c r="K19" s="16">
        <f>AVERAGE(L16:L19)</f>
        <v>-0.745791245791246</v>
      </c>
      <c r="L19" s="16">
        <f>('Cashflow'!E19-'Cashflow'!C19)/'Cashflow'!C19</f>
        <v>-0.953984287317621</v>
      </c>
    </row>
    <row r="20" ht="20.05" customHeight="1">
      <c r="B20" s="34">
        <v>2019</v>
      </c>
      <c r="C20" s="19">
        <v>846</v>
      </c>
      <c r="D20" s="23"/>
      <c r="E20" s="20">
        <v>84</v>
      </c>
      <c r="F20" s="20"/>
      <c r="G20" s="20">
        <v>132</v>
      </c>
      <c r="H20" s="20">
        <f>AVERAGE(G17:G20)</f>
        <v>130.5</v>
      </c>
      <c r="I20" s="16">
        <f>C20/C19-1</f>
        <v>-0.112277019937041</v>
      </c>
      <c r="J20" s="16">
        <f>(E20+F20+G20-C20)/C20</f>
        <v>-0.74468085106383</v>
      </c>
      <c r="K20" s="16">
        <f>AVERAGE(L17:L20)</f>
        <v>-0.746640900396769</v>
      </c>
      <c r="L20" s="16">
        <f>('Cashflow'!E20-'Cashflow'!C20)/'Cashflow'!C20</f>
        <v>-0.7699530516431921</v>
      </c>
    </row>
    <row r="21" ht="20.05" customHeight="1">
      <c r="B21" s="33"/>
      <c r="C21" s="19">
        <v>929</v>
      </c>
      <c r="D21" s="23"/>
      <c r="E21" s="20">
        <v>85</v>
      </c>
      <c r="F21" s="20"/>
      <c r="G21" s="20">
        <v>189</v>
      </c>
      <c r="H21" s="20">
        <f>AVERAGE(G18:G21)</f>
        <v>143.75</v>
      </c>
      <c r="I21" s="16">
        <f>C21/C20-1</f>
        <v>0.0981087470449173</v>
      </c>
      <c r="J21" s="16">
        <f>(E21+F21+G21-C21)/C21</f>
        <v>-0.705059203444564</v>
      </c>
      <c r="K21" s="16">
        <f>AVERAGE(L18:L21)</f>
        <v>-0.736324008190113</v>
      </c>
      <c r="L21" s="16">
        <f>('Cashflow'!E21-'Cashflow'!C21)/'Cashflow'!C21</f>
        <v>-0.6152980877390331</v>
      </c>
    </row>
    <row r="22" ht="20.05" customHeight="1">
      <c r="B22" s="33"/>
      <c r="C22" s="19">
        <v>879</v>
      </c>
      <c r="D22" s="20">
        <v>951.3</v>
      </c>
      <c r="E22" s="20">
        <v>103.2</v>
      </c>
      <c r="F22" s="20"/>
      <c r="G22" s="20">
        <v>116.5</v>
      </c>
      <c r="H22" s="20">
        <f>AVERAGE(G19:G22)</f>
        <v>140.875</v>
      </c>
      <c r="I22" s="16">
        <f>C22/C21-1</f>
        <v>-0.0538213132400431</v>
      </c>
      <c r="J22" s="16">
        <f>(E22+F22+G22-C22)/C22</f>
        <v>-0.750056882821388</v>
      </c>
      <c r="K22" s="16">
        <f>AVERAGE(L19:L22)</f>
        <v>-0.748521936843738</v>
      </c>
      <c r="L22" s="16">
        <f>('Cashflow'!E22-'Cashflow'!C22)/'Cashflow'!C22</f>
        <v>-0.654852320675105</v>
      </c>
    </row>
    <row r="23" ht="20.05" customHeight="1">
      <c r="B23" s="33"/>
      <c r="C23" s="19">
        <v>803</v>
      </c>
      <c r="D23" s="20">
        <v>1048.3</v>
      </c>
      <c r="E23" s="20">
        <v>100.3</v>
      </c>
      <c r="F23" s="20"/>
      <c r="G23" s="20">
        <v>-2.5</v>
      </c>
      <c r="H23" s="20">
        <f>AVERAGE(G20:G23)</f>
        <v>108.75</v>
      </c>
      <c r="I23" s="16">
        <f>C23/C22-1</f>
        <v>-0.0864618885096701</v>
      </c>
      <c r="J23" s="16">
        <f>(E23+F23+G23-C23)/C23</f>
        <v>-0.878206724782067</v>
      </c>
      <c r="K23" s="16">
        <f>AVERAGE(L20:L23)</f>
        <v>-0.744512738522686</v>
      </c>
      <c r="L23" s="16">
        <f>('Cashflow'!E23-'Cashflow'!C23)/'Cashflow'!C23</f>
        <v>-0.937947494033413</v>
      </c>
    </row>
    <row r="24" ht="20.05" customHeight="1">
      <c r="B24" s="34">
        <v>2020</v>
      </c>
      <c r="C24" s="19">
        <v>750</v>
      </c>
      <c r="D24" s="20">
        <v>803.7</v>
      </c>
      <c r="E24" s="20">
        <v>105</v>
      </c>
      <c r="F24" s="23">
        <v>21</v>
      </c>
      <c r="G24" s="20">
        <v>105.6</v>
      </c>
      <c r="H24" s="20">
        <f>AVERAGE(G21:G24)</f>
        <v>102.15</v>
      </c>
      <c r="I24" s="16">
        <f>C24/C23-1</f>
        <v>-0.06600249066002491</v>
      </c>
      <c r="J24" s="16">
        <f>(E24+F24+G24-C24)/C24</f>
        <v>-0.6912</v>
      </c>
      <c r="K24" s="16">
        <f>AVERAGE(L21:L24)</f>
        <v>-0.754942247495177</v>
      </c>
      <c r="L24" s="16">
        <f>('Cashflow'!E24-'Cashflow'!C24)/'Cashflow'!C24</f>
        <v>-0.811671087533156</v>
      </c>
    </row>
    <row r="25" ht="20.05" customHeight="1">
      <c r="B25" s="33"/>
      <c r="C25" s="19">
        <f>1363-C24</f>
        <v>613</v>
      </c>
      <c r="D25" s="20">
        <v>761.78</v>
      </c>
      <c r="E25" s="20">
        <v>105</v>
      </c>
      <c r="F25" s="23">
        <v>21</v>
      </c>
      <c r="G25" s="20">
        <f>167-G24</f>
        <v>61.4</v>
      </c>
      <c r="H25" s="20">
        <f>AVERAGE(G22:G25)</f>
        <v>70.25</v>
      </c>
      <c r="I25" s="16">
        <f>C25/C24-1</f>
        <v>-0.182666666666667</v>
      </c>
      <c r="J25" s="16">
        <f>(E25+F25+G25-C25)/C25</f>
        <v>-0.694290375203915</v>
      </c>
      <c r="K25" s="16">
        <f>AVERAGE(L22:L25)</f>
        <v>-0.757929102805928</v>
      </c>
      <c r="L25" s="16">
        <f>('Cashflow'!E25-'Cashflow'!C25)/'Cashflow'!C25</f>
        <v>-0.627245508982036</v>
      </c>
    </row>
    <row r="26" ht="20.05" customHeight="1">
      <c r="B26" s="33"/>
      <c r="C26" s="19">
        <f>1954.5-SUM(C24:C25)</f>
        <v>591.5</v>
      </c>
      <c r="D26" s="18">
        <v>685.62</v>
      </c>
      <c r="E26" s="20">
        <f>322-SUM(E24:E25)</f>
        <v>112</v>
      </c>
      <c r="F26" s="23">
        <v>21</v>
      </c>
      <c r="G26" s="20">
        <f>120.7-SUM(G24:G25)</f>
        <v>-46.3</v>
      </c>
      <c r="H26" s="20">
        <f>AVERAGE(G23:G26)</f>
        <v>29.55</v>
      </c>
      <c r="I26" s="16">
        <f>C26/C25-1</f>
        <v>-0.0350734094616639</v>
      </c>
      <c r="J26" s="16">
        <f>(E26+F26+G26-C26)/C26</f>
        <v>-0.853423499577346</v>
      </c>
      <c r="K26" s="16">
        <f>AVERAGE(L23:L26)</f>
        <v>-0.760437130181293</v>
      </c>
      <c r="L26" s="16">
        <f>('Cashflow'!E26-'Cashflow'!C26)/'Cashflow'!C26</f>
        <v>-0.664884430176565</v>
      </c>
    </row>
    <row r="27" ht="20.05" customHeight="1">
      <c r="B27" s="33"/>
      <c r="C27" s="19">
        <v>580.5</v>
      </c>
      <c r="D27" s="18">
        <v>650.65</v>
      </c>
      <c r="E27" s="20">
        <v>127</v>
      </c>
      <c r="F27" s="23">
        <v>21</v>
      </c>
      <c r="G27" s="20">
        <v>38.3</v>
      </c>
      <c r="H27" s="20">
        <f>AVERAGE(G24:G27)</f>
        <v>39.75</v>
      </c>
      <c r="I27" s="16">
        <f>C27/C26-1</f>
        <v>-0.0185967878275571</v>
      </c>
      <c r="J27" s="16">
        <f>(E27+F27+G27-C27)/C27</f>
        <v>-0.67906976744186</v>
      </c>
      <c r="K27" s="16">
        <f>AVERAGE(L24:L27)</f>
        <v>-0.717030273973977</v>
      </c>
      <c r="L27" s="16">
        <f>('Cashflow'!E27-'Cashflow'!C27)/'Cashflow'!C27</f>
        <v>-0.764320069204152</v>
      </c>
    </row>
    <row r="28" ht="20.05" customHeight="1">
      <c r="B28" s="34">
        <v>2021</v>
      </c>
      <c r="C28" s="19">
        <v>692</v>
      </c>
      <c r="D28" s="18">
        <v>592.11</v>
      </c>
      <c r="E28" s="20">
        <f>72+43.8</f>
        <v>115.8</v>
      </c>
      <c r="F28" s="20">
        <v>-1.7</v>
      </c>
      <c r="G28" s="20">
        <f>75.3</f>
        <v>75.3</v>
      </c>
      <c r="H28" s="20">
        <f>AVERAGE(G25:G28)</f>
        <v>32.175</v>
      </c>
      <c r="I28" s="16">
        <f>C28/C27-1</f>
        <v>0.19207579672696</v>
      </c>
      <c r="J28" s="16">
        <f>(E28+F28+G28-C28)/C28</f>
        <v>-0.726300578034682</v>
      </c>
      <c r="K28" s="16">
        <f>AVERAGE(L25:L28)</f>
        <v>-0.7118919066782921</v>
      </c>
      <c r="L28" s="16">
        <f>('Cashflow'!E28-'Cashflow'!C28)/'Cashflow'!C28</f>
        <v>-0.7911176183504151</v>
      </c>
    </row>
    <row r="29" ht="20.05" customHeight="1">
      <c r="B29" s="33"/>
      <c r="C29" s="19">
        <f>1562.8-C28</f>
        <v>870.8</v>
      </c>
      <c r="D29" s="18">
        <v>795.8</v>
      </c>
      <c r="E29" s="20">
        <f>141+3+92.1-E28</f>
        <v>120.3</v>
      </c>
      <c r="F29" s="20">
        <f>-16.5-F28</f>
        <v>-14.8</v>
      </c>
      <c r="G29" s="20">
        <f>189.3-G28</f>
        <v>114</v>
      </c>
      <c r="H29" s="20">
        <f>AVERAGE(G26:G29)</f>
        <v>45.325</v>
      </c>
      <c r="I29" s="16">
        <f>C29/C28-1</f>
        <v>0.258381502890173</v>
      </c>
      <c r="J29" s="16">
        <f>(E29+F29+G29-C29)/C29</f>
        <v>-0.747932935231971</v>
      </c>
      <c r="K29" s="16">
        <f>AVERAGE(L26:L29)</f>
        <v>-0.718857266554666</v>
      </c>
      <c r="L29" s="16">
        <f>('Cashflow'!E29-'Cashflow'!C29)/'Cashflow'!C29</f>
        <v>-0.655106948487533</v>
      </c>
    </row>
    <row r="30" ht="20.05" customHeight="1">
      <c r="B30" s="33"/>
      <c r="C30" s="19">
        <f>2569.1-SUM(C28:C29)</f>
        <v>1006.3</v>
      </c>
      <c r="D30" s="23">
        <v>870.8</v>
      </c>
      <c r="E30" s="20">
        <f>206.4+9+140.3-SUM(E28:E29)</f>
        <v>119.6</v>
      </c>
      <c r="F30" s="20">
        <f>-41.3-SUM(F28:F29)</f>
        <v>-24.8</v>
      </c>
      <c r="G30" s="20">
        <f>465.3-SUM(G28:G29)</f>
        <v>276</v>
      </c>
      <c r="H30" s="20">
        <f>AVERAGE(G27:G30)</f>
        <v>125.9</v>
      </c>
      <c r="I30" s="16">
        <f>C30/C29-1</f>
        <v>0.155604042259991</v>
      </c>
      <c r="J30" s="16">
        <f>(E30+F30+G30-C30)/C30</f>
        <v>-0.631521415084965</v>
      </c>
      <c r="K30" s="16">
        <f>AVERAGE(L27:L30)</f>
        <v>-0.69040923864407</v>
      </c>
      <c r="L30" s="16">
        <f>('Cashflow'!E30-'Cashflow'!C30)/'Cashflow'!C30</f>
        <v>-0.5510923185341789</v>
      </c>
    </row>
    <row r="31" ht="20.05" customHeight="1">
      <c r="B31" s="33"/>
      <c r="C31" s="22"/>
      <c r="D31" s="23">
        <f>'Model'!C6</f>
        <v>1086.804</v>
      </c>
      <c r="E31" s="23"/>
      <c r="F31" s="20"/>
      <c r="G31" s="20"/>
      <c r="H31" s="20">
        <f>'Model'!F21</f>
        <v>274.715689903722</v>
      </c>
      <c r="I31" s="16"/>
      <c r="J31" s="16">
        <f>'Model'!F7</f>
        <v>-0.660965326864518</v>
      </c>
      <c r="K31" s="24"/>
      <c r="L31" s="16"/>
    </row>
    <row r="32" ht="20.05" customHeight="1">
      <c r="B32" s="34">
        <v>2022</v>
      </c>
      <c r="C32" s="22"/>
      <c r="D32" s="18">
        <f>'Model'!D6</f>
        <v>1065.06792</v>
      </c>
      <c r="E32" s="23"/>
      <c r="F32" s="23"/>
      <c r="G32" s="20"/>
      <c r="H32" s="18"/>
      <c r="I32" s="12"/>
      <c r="J32" s="12"/>
      <c r="K32" s="12"/>
      <c r="L32" s="12"/>
    </row>
    <row r="33" ht="20.05" customHeight="1">
      <c r="B33" s="33"/>
      <c r="C33" s="22"/>
      <c r="D33" s="18">
        <f>'Model'!E6</f>
        <v>1107.6706368</v>
      </c>
      <c r="E33" s="23"/>
      <c r="F33" s="23"/>
      <c r="G33" s="20"/>
      <c r="H33" s="18"/>
      <c r="I33" s="12"/>
      <c r="J33" s="12"/>
      <c r="K33" s="12"/>
      <c r="L33" s="12"/>
    </row>
    <row r="34" ht="20.05" customHeight="1">
      <c r="B34" s="33"/>
      <c r="C34" s="22"/>
      <c r="D34" s="18">
        <f>'Model'!F6</f>
        <v>1163.05416864</v>
      </c>
      <c r="E34" s="23"/>
      <c r="F34" s="23"/>
      <c r="G34" s="20"/>
      <c r="H34" s="18"/>
      <c r="I34" s="12"/>
      <c r="J34" s="12"/>
      <c r="K34" s="12"/>
      <c r="L34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4531" style="35" customWidth="1"/>
    <col min="2" max="2" width="9.52344" style="35" customWidth="1"/>
    <col min="3" max="3" width="11.8516" style="35" customWidth="1"/>
    <col min="4" max="5" width="12.0859" style="35" customWidth="1"/>
    <col min="6" max="6" width="11.8516" style="35" customWidth="1"/>
    <col min="7" max="13" width="11.0938" style="35" customWidth="1"/>
    <col min="14" max="16384" width="16.3516" style="35" customWidth="1"/>
  </cols>
  <sheetData>
    <row r="1" ht="20.0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51</v>
      </c>
      <c r="H3" t="s" s="4">
        <v>11</v>
      </c>
      <c r="I3" t="s" s="4">
        <v>25</v>
      </c>
      <c r="J3" t="s" s="4">
        <v>10</v>
      </c>
      <c r="K3" t="s" s="4">
        <v>52</v>
      </c>
      <c r="L3" t="s" s="4">
        <v>3</v>
      </c>
      <c r="M3" t="s" s="4">
        <v>53</v>
      </c>
    </row>
    <row r="4" ht="20.25" customHeight="1">
      <c r="B4" s="27">
        <v>2015</v>
      </c>
      <c r="C4" s="28"/>
      <c r="D4" s="30"/>
      <c r="E4" s="30">
        <v>68</v>
      </c>
      <c r="F4" s="30">
        <v>-38</v>
      </c>
      <c r="G4" s="30"/>
      <c r="H4" s="30"/>
      <c r="I4" s="30"/>
      <c r="J4" s="30">
        <v>-28</v>
      </c>
      <c r="K4" s="30">
        <f>E4+F4</f>
        <v>30</v>
      </c>
      <c r="L4" s="29"/>
      <c r="M4" s="30">
        <f>-J4</f>
        <v>28</v>
      </c>
    </row>
    <row r="5" ht="20.05" customHeight="1">
      <c r="B5" s="33"/>
      <c r="C5" s="19"/>
      <c r="D5" s="20"/>
      <c r="E5" s="20">
        <v>198</v>
      </c>
      <c r="F5" s="20">
        <v>-24</v>
      </c>
      <c r="G5" s="20"/>
      <c r="H5" s="20"/>
      <c r="I5" s="20"/>
      <c r="J5" s="20">
        <v>-225</v>
      </c>
      <c r="K5" s="20">
        <f>E5+F5</f>
        <v>174</v>
      </c>
      <c r="L5" s="23"/>
      <c r="M5" s="20">
        <f>-J5+M4</f>
        <v>253</v>
      </c>
    </row>
    <row r="6" ht="20.05" customHeight="1">
      <c r="B6" s="33"/>
      <c r="C6" s="19"/>
      <c r="D6" s="20"/>
      <c r="E6" s="20">
        <v>172</v>
      </c>
      <c r="F6" s="20">
        <v>-16</v>
      </c>
      <c r="G6" s="20"/>
      <c r="H6" s="20"/>
      <c r="I6" s="20"/>
      <c r="J6" s="20">
        <v>-53</v>
      </c>
      <c r="K6" s="20">
        <f>E6+F6</f>
        <v>156</v>
      </c>
      <c r="L6" s="23"/>
      <c r="M6" s="20">
        <f>-J6+M5</f>
        <v>306</v>
      </c>
    </row>
    <row r="7" ht="20.05" customHeight="1">
      <c r="B7" s="33"/>
      <c r="C7" s="19"/>
      <c r="D7" s="20"/>
      <c r="E7" s="20">
        <v>74</v>
      </c>
      <c r="F7" s="20">
        <v>-40</v>
      </c>
      <c r="G7" s="20"/>
      <c r="H7" s="20"/>
      <c r="I7" s="20"/>
      <c r="J7" s="20">
        <v>-117</v>
      </c>
      <c r="K7" s="20">
        <f>E7+F7</f>
        <v>34</v>
      </c>
      <c r="L7" s="23"/>
      <c r="M7" s="20">
        <f>-J7+M6</f>
        <v>423</v>
      </c>
    </row>
    <row r="8" ht="20.05" customHeight="1">
      <c r="B8" s="34">
        <v>2016</v>
      </c>
      <c r="C8" s="19"/>
      <c r="D8" s="20"/>
      <c r="E8" s="20">
        <v>107</v>
      </c>
      <c r="F8" s="20">
        <v>-14</v>
      </c>
      <c r="G8" s="20"/>
      <c r="H8" s="20"/>
      <c r="I8" s="20"/>
      <c r="J8" s="20">
        <v>-88</v>
      </c>
      <c r="K8" s="20">
        <f>E8+F8</f>
        <v>93</v>
      </c>
      <c r="L8" s="20">
        <f>AVERAGE(K5:K8)</f>
        <v>114.25</v>
      </c>
      <c r="M8" s="20">
        <f>-J8+M7</f>
        <v>511</v>
      </c>
    </row>
    <row r="9" ht="20.05" customHeight="1">
      <c r="B9" s="33"/>
      <c r="C9" s="19"/>
      <c r="D9" s="20"/>
      <c r="E9" s="20">
        <v>227</v>
      </c>
      <c r="F9" s="20">
        <v>-51</v>
      </c>
      <c r="G9" s="20"/>
      <c r="H9" s="20"/>
      <c r="I9" s="20"/>
      <c r="J9" s="20">
        <v>-58</v>
      </c>
      <c r="K9" s="20">
        <f>E9+F9</f>
        <v>176</v>
      </c>
      <c r="L9" s="20">
        <f>AVERAGE(K6:K9)</f>
        <v>114.75</v>
      </c>
      <c r="M9" s="20">
        <f>-J9+M8</f>
        <v>569</v>
      </c>
    </row>
    <row r="10" ht="20.05" customHeight="1">
      <c r="B10" s="33"/>
      <c r="C10" s="19"/>
      <c r="D10" s="20"/>
      <c r="E10" s="20">
        <v>206</v>
      </c>
      <c r="F10" s="20">
        <v>-14</v>
      </c>
      <c r="G10" s="20"/>
      <c r="H10" s="20"/>
      <c r="I10" s="20"/>
      <c r="J10" s="20">
        <v>-56</v>
      </c>
      <c r="K10" s="20">
        <f>E10+F10</f>
        <v>192</v>
      </c>
      <c r="L10" s="20">
        <f>AVERAGE(K7:K10)</f>
        <v>123.75</v>
      </c>
      <c r="M10" s="20">
        <f>-J10+M9</f>
        <v>625</v>
      </c>
    </row>
    <row r="11" ht="20.05" customHeight="1">
      <c r="B11" s="33"/>
      <c r="C11" s="19"/>
      <c r="D11" s="20"/>
      <c r="E11" s="20">
        <v>136</v>
      </c>
      <c r="F11" s="20">
        <v>-149</v>
      </c>
      <c r="G11" s="20"/>
      <c r="H11" s="20"/>
      <c r="I11" s="20"/>
      <c r="J11" s="20">
        <v>129</v>
      </c>
      <c r="K11" s="20">
        <f>E11+F11</f>
        <v>-13</v>
      </c>
      <c r="L11" s="20">
        <f>AVERAGE(K8:K11)</f>
        <v>112</v>
      </c>
      <c r="M11" s="20">
        <f>-J11+M10</f>
        <v>496</v>
      </c>
    </row>
    <row r="12" ht="20.05" customHeight="1">
      <c r="B12" s="34">
        <v>2017</v>
      </c>
      <c r="C12" s="19">
        <v>818</v>
      </c>
      <c r="D12" s="20">
        <v>-46.5</v>
      </c>
      <c r="E12" s="20">
        <v>230</v>
      </c>
      <c r="F12" s="20">
        <v>-9</v>
      </c>
      <c r="G12" s="20"/>
      <c r="H12" s="20"/>
      <c r="I12" s="20"/>
      <c r="J12" s="20">
        <v>-186</v>
      </c>
      <c r="K12" s="20">
        <f>E12+D12</f>
        <v>183.5</v>
      </c>
      <c r="L12" s="20">
        <f>AVERAGE(K9:K12)</f>
        <v>134.625</v>
      </c>
      <c r="M12" s="20">
        <f>-J12+M11</f>
        <v>682</v>
      </c>
    </row>
    <row r="13" ht="20.05" customHeight="1">
      <c r="B13" s="33"/>
      <c r="C13" s="19">
        <v>818</v>
      </c>
      <c r="D13" s="20">
        <v>-46.5</v>
      </c>
      <c r="E13" s="20">
        <v>230</v>
      </c>
      <c r="F13" s="20">
        <v>-20</v>
      </c>
      <c r="G13" s="20"/>
      <c r="H13" s="20"/>
      <c r="I13" s="20"/>
      <c r="J13" s="20">
        <v>-86</v>
      </c>
      <c r="K13" s="20">
        <f>E13+D13</f>
        <v>183.5</v>
      </c>
      <c r="L13" s="20">
        <f>AVERAGE(K10:K13)</f>
        <v>136.5</v>
      </c>
      <c r="M13" s="20">
        <f>-J13+M12</f>
        <v>768</v>
      </c>
    </row>
    <row r="14" ht="20.05" customHeight="1">
      <c r="B14" s="33"/>
      <c r="C14" s="19">
        <v>818</v>
      </c>
      <c r="D14" s="20">
        <v>-46.5</v>
      </c>
      <c r="E14" s="20">
        <v>357</v>
      </c>
      <c r="F14" s="20">
        <v>-298</v>
      </c>
      <c r="G14" s="20"/>
      <c r="H14" s="20"/>
      <c r="I14" s="20"/>
      <c r="J14" s="20">
        <v>-34</v>
      </c>
      <c r="K14" s="20">
        <f>E14+D14</f>
        <v>310.5</v>
      </c>
      <c r="L14" s="20">
        <f>AVERAGE(K11:K14)</f>
        <v>166.125</v>
      </c>
      <c r="M14" s="20">
        <f>-J14+M13</f>
        <v>802</v>
      </c>
    </row>
    <row r="15" ht="20.05" customHeight="1">
      <c r="B15" s="33"/>
      <c r="C15" s="19">
        <v>818</v>
      </c>
      <c r="D15" s="20">
        <v>-46.5</v>
      </c>
      <c r="E15" s="20">
        <v>37</v>
      </c>
      <c r="F15" s="20">
        <v>-106</v>
      </c>
      <c r="G15" s="20"/>
      <c r="H15" s="20"/>
      <c r="I15" s="20"/>
      <c r="J15" s="20">
        <v>17</v>
      </c>
      <c r="K15" s="20">
        <f>E15+D15</f>
        <v>-9.5</v>
      </c>
      <c r="L15" s="20">
        <f>AVERAGE(K12:K15)</f>
        <v>167</v>
      </c>
      <c r="M15" s="20">
        <f>-J15+M14</f>
        <v>785</v>
      </c>
    </row>
    <row r="16" ht="20.05" customHeight="1">
      <c r="B16" s="34">
        <v>2018</v>
      </c>
      <c r="C16" s="19">
        <v>891</v>
      </c>
      <c r="D16" s="20">
        <v>-103</v>
      </c>
      <c r="E16" s="20">
        <v>208</v>
      </c>
      <c r="F16" s="20">
        <v>-70</v>
      </c>
      <c r="G16" s="20"/>
      <c r="H16" s="20"/>
      <c r="I16" s="20"/>
      <c r="J16" s="20">
        <v>-219</v>
      </c>
      <c r="K16" s="20">
        <f>E16+D16</f>
        <v>105</v>
      </c>
      <c r="L16" s="20">
        <f>AVERAGE(K13:K16)</f>
        <v>147.375</v>
      </c>
      <c r="M16" s="20">
        <f>-J16+M15</f>
        <v>1004</v>
      </c>
    </row>
    <row r="17" ht="20.05" customHeight="1">
      <c r="B17" s="33"/>
      <c r="C17" s="19">
        <v>891</v>
      </c>
      <c r="D17" s="20">
        <v>-103</v>
      </c>
      <c r="E17" s="20">
        <v>306</v>
      </c>
      <c r="F17" s="20">
        <v>-139</v>
      </c>
      <c r="G17" s="20"/>
      <c r="H17" s="20"/>
      <c r="I17" s="20"/>
      <c r="J17" s="20">
        <v>-221</v>
      </c>
      <c r="K17" s="20">
        <f>E17+D17</f>
        <v>203</v>
      </c>
      <c r="L17" s="20">
        <f>AVERAGE(K14:K17)</f>
        <v>152.25</v>
      </c>
      <c r="M17" s="20">
        <f>-J17+M16</f>
        <v>1225</v>
      </c>
    </row>
    <row r="18" ht="20.05" customHeight="1">
      <c r="B18" s="33"/>
      <c r="C18" s="19">
        <v>891</v>
      </c>
      <c r="D18" s="20">
        <v>-103</v>
      </c>
      <c r="E18" s="20">
        <v>351</v>
      </c>
      <c r="F18" s="20">
        <v>-479.8</v>
      </c>
      <c r="G18" s="20"/>
      <c r="H18" s="20"/>
      <c r="I18" s="20"/>
      <c r="J18" s="20">
        <v>53</v>
      </c>
      <c r="K18" s="20">
        <f>E18+D18</f>
        <v>248</v>
      </c>
      <c r="L18" s="20">
        <f>AVERAGE(K15:K18)</f>
        <v>136.625</v>
      </c>
      <c r="M18" s="20">
        <f>-J18+M17</f>
        <v>1172</v>
      </c>
    </row>
    <row r="19" ht="20.05" customHeight="1">
      <c r="B19" s="33"/>
      <c r="C19" s="19">
        <v>891</v>
      </c>
      <c r="D19" s="20">
        <v>-103</v>
      </c>
      <c r="E19" s="20">
        <v>41</v>
      </c>
      <c r="F19" s="20">
        <v>-111.8</v>
      </c>
      <c r="G19" s="20"/>
      <c r="H19" s="20"/>
      <c r="I19" s="20"/>
      <c r="J19" s="20">
        <v>16.2</v>
      </c>
      <c r="K19" s="20">
        <f>E19+D19</f>
        <v>-62</v>
      </c>
      <c r="L19" s="20">
        <f>AVERAGE(K16:K19)</f>
        <v>123.5</v>
      </c>
      <c r="M19" s="20">
        <f>-J19+M18</f>
        <v>1155.8</v>
      </c>
    </row>
    <row r="20" ht="20.05" customHeight="1">
      <c r="B20" s="34">
        <v>2019</v>
      </c>
      <c r="C20" s="19">
        <v>852</v>
      </c>
      <c r="D20" s="20">
        <v>-116.75</v>
      </c>
      <c r="E20" s="20">
        <v>196</v>
      </c>
      <c r="F20" s="20">
        <v>-125</v>
      </c>
      <c r="G20" s="20"/>
      <c r="H20" s="20"/>
      <c r="I20" s="20"/>
      <c r="J20" s="20">
        <v>-190</v>
      </c>
      <c r="K20" s="20">
        <f>E20+D20</f>
        <v>79.25</v>
      </c>
      <c r="L20" s="20">
        <f>AVERAGE(K17:K20)</f>
        <v>117.0625</v>
      </c>
      <c r="M20" s="20">
        <f>-J20+M19</f>
        <v>1345.8</v>
      </c>
    </row>
    <row r="21" ht="20.05" customHeight="1">
      <c r="B21" s="33"/>
      <c r="C21" s="19">
        <v>889</v>
      </c>
      <c r="D21" s="20">
        <v>-116.75</v>
      </c>
      <c r="E21" s="20">
        <v>342</v>
      </c>
      <c r="F21" s="20">
        <v>-105</v>
      </c>
      <c r="G21" s="20"/>
      <c r="H21" s="20"/>
      <c r="I21" s="20"/>
      <c r="J21" s="20">
        <v>-156</v>
      </c>
      <c r="K21" s="20">
        <f>E21+D21</f>
        <v>225.25</v>
      </c>
      <c r="L21" s="20">
        <f>AVERAGE(K18:K21)</f>
        <v>122.625</v>
      </c>
      <c r="M21" s="20">
        <f>-J21+M20</f>
        <v>1501.8</v>
      </c>
    </row>
    <row r="22" ht="20.05" customHeight="1">
      <c r="B22" s="33"/>
      <c r="C22" s="19">
        <v>948</v>
      </c>
      <c r="D22" s="20">
        <v>-116.75</v>
      </c>
      <c r="E22" s="20">
        <v>327.2</v>
      </c>
      <c r="F22" s="20">
        <v>-178</v>
      </c>
      <c r="G22" s="20"/>
      <c r="H22" s="20"/>
      <c r="I22" s="20"/>
      <c r="J22" s="20">
        <v>-36</v>
      </c>
      <c r="K22" s="20">
        <f>E22+D22</f>
        <v>210.45</v>
      </c>
      <c r="L22" s="20">
        <f>AVERAGE(K19:K22)</f>
        <v>113.2375</v>
      </c>
      <c r="M22" s="20">
        <f>-J22+M21</f>
        <v>1537.8</v>
      </c>
    </row>
    <row r="23" ht="20.05" customHeight="1">
      <c r="B23" s="33"/>
      <c r="C23" s="19">
        <v>838</v>
      </c>
      <c r="D23" s="20">
        <v>-116.75</v>
      </c>
      <c r="E23" s="20">
        <v>52</v>
      </c>
      <c r="F23" s="20">
        <v>-138.9</v>
      </c>
      <c r="G23" s="20"/>
      <c r="H23" s="20"/>
      <c r="I23" s="20"/>
      <c r="J23" s="20">
        <v>653.3</v>
      </c>
      <c r="K23" s="20">
        <f>E23+D23</f>
        <v>-64.75</v>
      </c>
      <c r="L23" s="20">
        <f>AVERAGE(K20:K23)</f>
        <v>112.55</v>
      </c>
      <c r="M23" s="20">
        <f>-J23+M22</f>
        <v>884.5</v>
      </c>
    </row>
    <row r="24" ht="20.05" customHeight="1">
      <c r="B24" s="34">
        <v>2020</v>
      </c>
      <c r="C24" s="19">
        <v>754</v>
      </c>
      <c r="D24" s="20">
        <v>-44.25</v>
      </c>
      <c r="E24" s="20">
        <v>142</v>
      </c>
      <c r="F24" s="20">
        <v>-221.9</v>
      </c>
      <c r="G24" s="20"/>
      <c r="H24" s="20"/>
      <c r="I24" s="20"/>
      <c r="J24" s="20">
        <v>-223</v>
      </c>
      <c r="K24" s="20">
        <f>E24+D24</f>
        <v>97.75</v>
      </c>
      <c r="L24" s="20">
        <f>AVERAGE(K21:K24)</f>
        <v>117.175</v>
      </c>
      <c r="M24" s="20">
        <f>-J24+M23</f>
        <v>1107.5</v>
      </c>
    </row>
    <row r="25" ht="20.05" customHeight="1">
      <c r="B25" s="33"/>
      <c r="C25" s="19">
        <v>668</v>
      </c>
      <c r="D25" s="20">
        <v>-44.25</v>
      </c>
      <c r="E25" s="20">
        <f>391-E24</f>
        <v>249</v>
      </c>
      <c r="F25" s="20">
        <f>-302-F24</f>
        <v>-80.09999999999999</v>
      </c>
      <c r="G25" s="20"/>
      <c r="H25" s="20"/>
      <c r="I25" s="20"/>
      <c r="J25" s="20">
        <f>-586-J24</f>
        <v>-363</v>
      </c>
      <c r="K25" s="20">
        <f>E25+D25</f>
        <v>204.75</v>
      </c>
      <c r="L25" s="20">
        <f>AVERAGE(K22:K25)</f>
        <v>112.05</v>
      </c>
      <c r="M25" s="20">
        <f>-J25+M24</f>
        <v>1470.5</v>
      </c>
    </row>
    <row r="26" ht="20.05" customHeight="1">
      <c r="B26" s="33"/>
      <c r="C26" s="19">
        <v>623</v>
      </c>
      <c r="D26" s="20">
        <v>-44.25</v>
      </c>
      <c r="E26" s="20">
        <f>599.777-SUM(E24:E25)</f>
        <v>208.777</v>
      </c>
      <c r="F26" s="20">
        <f>-321.299-SUM(F24:F25)</f>
        <v>-19.299</v>
      </c>
      <c r="G26" s="20"/>
      <c r="H26" s="20"/>
      <c r="I26" s="20"/>
      <c r="J26" s="20">
        <f>-659.866-SUM(J24:J25)</f>
        <v>-73.866</v>
      </c>
      <c r="K26" s="20">
        <f>E26+D26</f>
        <v>164.527</v>
      </c>
      <c r="L26" s="20">
        <f>AVERAGE(K23:K26)</f>
        <v>100.56925</v>
      </c>
      <c r="M26" s="20">
        <f>-J26+M25</f>
        <v>1544.366</v>
      </c>
    </row>
    <row r="27" ht="20.05" customHeight="1">
      <c r="B27" s="33"/>
      <c r="C27" s="19">
        <v>578</v>
      </c>
      <c r="D27" s="20">
        <v>-44.25</v>
      </c>
      <c r="E27" s="20">
        <v>136.223</v>
      </c>
      <c r="F27" s="20">
        <v>-37.701</v>
      </c>
      <c r="G27" s="20"/>
      <c r="H27" s="20"/>
      <c r="I27" s="20"/>
      <c r="J27" s="20">
        <v>-118.134</v>
      </c>
      <c r="K27" s="20">
        <f>E27+D27</f>
        <v>91.973</v>
      </c>
      <c r="L27" s="20">
        <f>AVERAGE(K24:K27)</f>
        <v>139.75</v>
      </c>
      <c r="M27" s="20">
        <f>-J27+M26</f>
        <v>1662.5</v>
      </c>
    </row>
    <row r="28" ht="20.05" customHeight="1">
      <c r="B28" s="34">
        <v>2021</v>
      </c>
      <c r="C28" s="19">
        <v>614.7</v>
      </c>
      <c r="D28" s="20">
        <v>-39</v>
      </c>
      <c r="E28" s="20">
        <v>128.4</v>
      </c>
      <c r="F28" s="20">
        <v>-54.1</v>
      </c>
      <c r="G28" s="20">
        <v>-13.6</v>
      </c>
      <c r="H28" s="20">
        <v>-40</v>
      </c>
      <c r="I28" s="20"/>
      <c r="J28" s="20">
        <f>-53.6</f>
        <v>-53.6</v>
      </c>
      <c r="K28" s="20">
        <f>E28+D28</f>
        <v>89.40000000000001</v>
      </c>
      <c r="L28" s="20">
        <f>AVERAGE(K25:K28)</f>
        <v>137.6625</v>
      </c>
      <c r="M28" s="20">
        <f>-(H28+I28)+M27</f>
        <v>1702.5</v>
      </c>
    </row>
    <row r="29" ht="20.05" customHeight="1">
      <c r="B29" s="33"/>
      <c r="C29" s="19">
        <f>1404.8-C28</f>
        <v>790.1</v>
      </c>
      <c r="D29" s="20">
        <v>-39</v>
      </c>
      <c r="E29" s="20">
        <f>400.9-E28</f>
        <v>272.5</v>
      </c>
      <c r="F29" s="20">
        <f>-399.7-F28</f>
        <v>-345.6</v>
      </c>
      <c r="G29" s="20">
        <f>-28.119-G28</f>
        <v>-14.519</v>
      </c>
      <c r="H29" s="20">
        <f>33.449-G29-G28-H28-I29</f>
        <v>192.359</v>
      </c>
      <c r="I29" s="20">
        <f>-146.815-0.976+57</f>
        <v>-90.791</v>
      </c>
      <c r="J29" s="20">
        <f>36.4-J28</f>
        <v>90</v>
      </c>
      <c r="K29" s="20">
        <f>E29+D29</f>
        <v>233.5</v>
      </c>
      <c r="L29" s="20">
        <f>AVERAGE(K26:K29)</f>
        <v>144.85</v>
      </c>
      <c r="M29" s="20">
        <f>-(H29+I29)+M28</f>
        <v>1600.932</v>
      </c>
    </row>
    <row r="30" ht="20.05" customHeight="1">
      <c r="B30" s="33"/>
      <c r="C30" s="19">
        <f>2398.1-SUM(C28:C29)</f>
        <v>993.3</v>
      </c>
      <c r="D30" s="20">
        <f>-108.3-19.1-SUM(D28:D29)</f>
        <v>-49.4</v>
      </c>
      <c r="E30" s="20">
        <f>846.8-SUM(E28:E29)</f>
        <v>445.9</v>
      </c>
      <c r="F30" s="20">
        <f>-528.5-SUM(F28:F29)</f>
        <v>-128.8</v>
      </c>
      <c r="G30" s="20">
        <f>-43.211-G29-G28</f>
        <v>-15.092</v>
      </c>
      <c r="H30" s="20">
        <f>20.756-G30-G29-G28-H29-H28-I30-I29</f>
        <v>5.755</v>
      </c>
      <c r="I30" s="20">
        <f>-146.816-4.331+57-I29</f>
        <v>-3.356</v>
      </c>
      <c r="J30" s="20">
        <f>20.8-SUM(J28:J29)</f>
        <v>-15.6</v>
      </c>
      <c r="K30" s="20">
        <f>E30+D30</f>
        <v>396.5</v>
      </c>
      <c r="L30" s="20">
        <f>AVERAGE(K27:K30)</f>
        <v>202.84325</v>
      </c>
      <c r="M30" s="20">
        <f>-(H30+I30)+M29</f>
        <v>1598.533</v>
      </c>
    </row>
    <row r="31" ht="20.05" customHeight="1">
      <c r="B31" s="33"/>
      <c r="C31" s="19"/>
      <c r="D31" s="20"/>
      <c r="E31" s="20"/>
      <c r="F31" s="20"/>
      <c r="G31" s="20"/>
      <c r="H31" s="20"/>
      <c r="I31" s="20"/>
      <c r="J31" s="20"/>
      <c r="K31" s="20"/>
      <c r="L31" s="18">
        <f>SUM('Model'!F9:F10)</f>
        <v>265.515689903722</v>
      </c>
      <c r="M31" s="20">
        <f>'Model'!F33</f>
        <v>2627.3093551098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7.41406" style="36" customWidth="1"/>
    <col min="3" max="11" width="10.5859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54</v>
      </c>
      <c r="C3" t="s" s="4">
        <v>55</v>
      </c>
      <c r="D3" t="s" s="4">
        <v>56</v>
      </c>
      <c r="E3" t="s" s="4">
        <v>57</v>
      </c>
      <c r="F3" t="s" s="4">
        <v>23</v>
      </c>
      <c r="G3" t="s" s="4">
        <v>11</v>
      </c>
      <c r="H3" t="s" s="4">
        <v>25</v>
      </c>
      <c r="I3" t="s" s="4">
        <v>58</v>
      </c>
      <c r="J3" t="s" s="4">
        <v>59</v>
      </c>
      <c r="K3" t="s" s="4">
        <v>35</v>
      </c>
    </row>
    <row r="4" ht="20.25" customHeight="1">
      <c r="B4" s="27">
        <v>2015</v>
      </c>
      <c r="C4" s="28">
        <v>742</v>
      </c>
      <c r="D4" s="30">
        <v>6367</v>
      </c>
      <c r="E4" s="30">
        <f>D4-C4</f>
        <v>5625</v>
      </c>
      <c r="F4" s="30"/>
      <c r="G4" s="30">
        <v>3050</v>
      </c>
      <c r="H4" s="30">
        <v>3317</v>
      </c>
      <c r="I4" s="30">
        <f>G4+H4-C4-E4</f>
        <v>0</v>
      </c>
      <c r="J4" s="30">
        <f>C4-G4</f>
        <v>-2308</v>
      </c>
      <c r="K4" s="30"/>
    </row>
    <row r="5" ht="20.05" customHeight="1">
      <c r="B5" s="33"/>
      <c r="C5" s="19">
        <v>688</v>
      </c>
      <c r="D5" s="20">
        <v>6205</v>
      </c>
      <c r="E5" s="20">
        <f>D5-C5</f>
        <v>5517</v>
      </c>
      <c r="F5" s="20"/>
      <c r="G5" s="20">
        <v>2866</v>
      </c>
      <c r="H5" s="20">
        <v>3338</v>
      </c>
      <c r="I5" s="20">
        <f>G5+H5-C5-E5</f>
        <v>-1</v>
      </c>
      <c r="J5" s="20">
        <f>C5-G5</f>
        <v>-2178</v>
      </c>
      <c r="K5" s="20"/>
    </row>
    <row r="6" ht="20.05" customHeight="1">
      <c r="B6" s="33"/>
      <c r="C6" s="19">
        <v>785</v>
      </c>
      <c r="D6" s="20">
        <v>6215</v>
      </c>
      <c r="E6" s="20">
        <f>D6-C6</f>
        <v>5430</v>
      </c>
      <c r="F6" s="20"/>
      <c r="G6" s="20">
        <v>2815</v>
      </c>
      <c r="H6" s="20">
        <v>3399</v>
      </c>
      <c r="I6" s="20">
        <f>G6+H6-C6-E6</f>
        <v>-1</v>
      </c>
      <c r="J6" s="20">
        <f>C6-G6</f>
        <v>-2030</v>
      </c>
      <c r="K6" s="20"/>
    </row>
    <row r="7" ht="20.05" customHeight="1">
      <c r="B7" s="33"/>
      <c r="C7" s="19">
        <v>702</v>
      </c>
      <c r="D7" s="20">
        <v>5959</v>
      </c>
      <c r="E7" s="20">
        <f>D7-C7</f>
        <v>5257</v>
      </c>
      <c r="F7" s="20"/>
      <c r="G7" s="20">
        <v>2605</v>
      </c>
      <c r="H7" s="20">
        <v>3353</v>
      </c>
      <c r="I7" s="20">
        <f>G7+H7-C7-E7</f>
        <v>-1</v>
      </c>
      <c r="J7" s="20">
        <f>C7-G7</f>
        <v>-1903</v>
      </c>
      <c r="K7" s="20"/>
    </row>
    <row r="8" ht="20.05" customHeight="1">
      <c r="B8" s="34">
        <v>2016</v>
      </c>
      <c r="C8" s="19">
        <v>709</v>
      </c>
      <c r="D8" s="20">
        <v>5949</v>
      </c>
      <c r="E8" s="20">
        <f>D8-C8</f>
        <v>5240</v>
      </c>
      <c r="F8" s="20"/>
      <c r="G8" s="20">
        <v>2532</v>
      </c>
      <c r="H8" s="20">
        <v>3417</v>
      </c>
      <c r="I8" s="20">
        <f>G8+H8-C8-E8</f>
        <v>0</v>
      </c>
      <c r="J8" s="20">
        <f>C8-G8</f>
        <v>-1823</v>
      </c>
      <c r="K8" s="20"/>
    </row>
    <row r="9" ht="20.05" customHeight="1">
      <c r="B9" s="33"/>
      <c r="C9" s="19">
        <v>828</v>
      </c>
      <c r="D9" s="20">
        <v>6042</v>
      </c>
      <c r="E9" s="20">
        <f>D9-C9</f>
        <v>5214</v>
      </c>
      <c r="F9" s="20"/>
      <c r="G9" s="20">
        <v>2601</v>
      </c>
      <c r="H9" s="20">
        <v>3440</v>
      </c>
      <c r="I9" s="20">
        <f>G9+H9-C9-E9</f>
        <v>-1</v>
      </c>
      <c r="J9" s="20">
        <f>C9-G9</f>
        <v>-1773</v>
      </c>
      <c r="K9" s="20"/>
    </row>
    <row r="10" ht="20.05" customHeight="1">
      <c r="B10" s="33"/>
      <c r="C10" s="19">
        <v>964</v>
      </c>
      <c r="D10" s="20">
        <v>6134</v>
      </c>
      <c r="E10" s="20">
        <f>D10-C10</f>
        <v>5170</v>
      </c>
      <c r="F10" s="20"/>
      <c r="G10" s="20">
        <v>2606</v>
      </c>
      <c r="H10" s="20">
        <v>3528</v>
      </c>
      <c r="I10" s="20">
        <f>G10+H10-C10-E10</f>
        <v>0</v>
      </c>
      <c r="J10" s="20">
        <f>C10-G10</f>
        <v>-1642</v>
      </c>
      <c r="K10" s="20"/>
    </row>
    <row r="11" ht="20.05" customHeight="1">
      <c r="B11" s="33"/>
      <c r="C11" s="19">
        <v>1077</v>
      </c>
      <c r="D11" s="20">
        <v>6523</v>
      </c>
      <c r="E11" s="20">
        <f>D11-C11</f>
        <v>5446</v>
      </c>
      <c r="F11" s="20"/>
      <c r="G11" s="20">
        <v>2736</v>
      </c>
      <c r="H11" s="20">
        <v>3786</v>
      </c>
      <c r="I11" s="20">
        <f>G11+H11-C11-E11</f>
        <v>-1</v>
      </c>
      <c r="J11" s="20">
        <f>C11-G11</f>
        <v>-1659</v>
      </c>
      <c r="K11" s="20"/>
    </row>
    <row r="12" ht="20.05" customHeight="1">
      <c r="B12" s="34">
        <v>2017</v>
      </c>
      <c r="C12" s="19">
        <v>1113</v>
      </c>
      <c r="D12" s="20">
        <v>6510</v>
      </c>
      <c r="E12" s="20">
        <f>D12-C12</f>
        <v>5397</v>
      </c>
      <c r="F12" s="20"/>
      <c r="G12" s="20">
        <v>2695</v>
      </c>
      <c r="H12" s="20">
        <v>3815</v>
      </c>
      <c r="I12" s="20">
        <f>G12+H12-C12-E12</f>
        <v>0</v>
      </c>
      <c r="J12" s="20">
        <f>C12-G12</f>
        <v>-1582</v>
      </c>
      <c r="K12" s="20"/>
    </row>
    <row r="13" ht="20.05" customHeight="1">
      <c r="B13" s="33"/>
      <c r="C13" s="19">
        <v>1236</v>
      </c>
      <c r="D13" s="20">
        <v>6569</v>
      </c>
      <c r="E13" s="20">
        <f>D13-C13</f>
        <v>5333</v>
      </c>
      <c r="F13" s="20"/>
      <c r="G13" s="20">
        <v>2672</v>
      </c>
      <c r="H13" s="20">
        <v>3896</v>
      </c>
      <c r="I13" s="20">
        <f>G13+H13-C13-E13</f>
        <v>-1</v>
      </c>
      <c r="J13" s="20">
        <f>C13-G13</f>
        <v>-1436</v>
      </c>
      <c r="K13" s="20"/>
    </row>
    <row r="14" ht="20.05" customHeight="1">
      <c r="B14" s="33"/>
      <c r="C14" s="19">
        <v>1259</v>
      </c>
      <c r="D14" s="20">
        <v>6853</v>
      </c>
      <c r="E14" s="20">
        <f>D14-C14</f>
        <v>5594</v>
      </c>
      <c r="F14" s="20"/>
      <c r="G14" s="20">
        <v>2790</v>
      </c>
      <c r="H14" s="20">
        <v>4062</v>
      </c>
      <c r="I14" s="20">
        <f>G14+H14-C14-E14</f>
        <v>-1</v>
      </c>
      <c r="J14" s="20">
        <f>C14-G14</f>
        <v>-1531</v>
      </c>
      <c r="K14" s="20"/>
    </row>
    <row r="15" ht="20.05" customHeight="1">
      <c r="B15" s="33"/>
      <c r="C15" s="19">
        <v>1207</v>
      </c>
      <c r="D15" s="20">
        <v>6814</v>
      </c>
      <c r="E15" s="20">
        <f>D15-C15</f>
        <v>5607</v>
      </c>
      <c r="F15" s="20"/>
      <c r="G15" s="20">
        <v>2722</v>
      </c>
      <c r="H15" s="20">
        <v>4092</v>
      </c>
      <c r="I15" s="20">
        <f>G15+H15-C15-E15</f>
        <v>0</v>
      </c>
      <c r="J15" s="20">
        <f>C15-G15</f>
        <v>-1515</v>
      </c>
      <c r="K15" s="20"/>
    </row>
    <row r="16" ht="20.05" customHeight="1">
      <c r="B16" s="34">
        <v>2018</v>
      </c>
      <c r="C16" s="19">
        <v>1124</v>
      </c>
      <c r="D16" s="20">
        <v>6769</v>
      </c>
      <c r="E16" s="20">
        <f>D16-C16</f>
        <v>5645</v>
      </c>
      <c r="F16" s="20"/>
      <c r="G16" s="20">
        <v>2606</v>
      </c>
      <c r="H16" s="20">
        <v>4162</v>
      </c>
      <c r="I16" s="20">
        <f>G16+H16-C16-E16</f>
        <v>-1</v>
      </c>
      <c r="J16" s="20">
        <f>C16-G16</f>
        <v>-1482</v>
      </c>
      <c r="K16" s="20"/>
    </row>
    <row r="17" ht="20.05" customHeight="1">
      <c r="B17" s="33"/>
      <c r="C17" s="19">
        <v>1058</v>
      </c>
      <c r="D17" s="20">
        <v>6784</v>
      </c>
      <c r="E17" s="20">
        <f>D17-C17</f>
        <v>5726</v>
      </c>
      <c r="F17" s="20"/>
      <c r="G17" s="20">
        <v>2619</v>
      </c>
      <c r="H17" s="20">
        <v>4166</v>
      </c>
      <c r="I17" s="20">
        <f>G17+H17-C17-E17</f>
        <v>1</v>
      </c>
      <c r="J17" s="20">
        <f>C17-G17</f>
        <v>-1561</v>
      </c>
      <c r="K17" s="20"/>
    </row>
    <row r="18" ht="20.05" customHeight="1">
      <c r="B18" s="33"/>
      <c r="C18" s="19">
        <v>965</v>
      </c>
      <c r="D18" s="20">
        <v>7151</v>
      </c>
      <c r="E18" s="20">
        <f>D18-C18</f>
        <v>6186</v>
      </c>
      <c r="F18" s="20"/>
      <c r="G18" s="20">
        <v>2847</v>
      </c>
      <c r="H18" s="20">
        <v>4305</v>
      </c>
      <c r="I18" s="20">
        <f>G18+H18-C18-E18</f>
        <v>1</v>
      </c>
      <c r="J18" s="20">
        <f>C18-G18</f>
        <v>-1882</v>
      </c>
      <c r="K18" s="20"/>
    </row>
    <row r="19" ht="20.05" customHeight="1">
      <c r="B19" s="33"/>
      <c r="C19" s="19">
        <v>928</v>
      </c>
      <c r="D19" s="20">
        <v>7060</v>
      </c>
      <c r="E19" s="20">
        <f>D19-C19</f>
        <v>6132</v>
      </c>
      <c r="F19" s="20"/>
      <c r="G19" s="20">
        <v>2758</v>
      </c>
      <c r="H19" s="20">
        <v>4303</v>
      </c>
      <c r="I19" s="20">
        <f>G19+H19-C19-E19</f>
        <v>1</v>
      </c>
      <c r="J19" s="20">
        <f>C19-G19</f>
        <v>-1830</v>
      </c>
      <c r="K19" s="20"/>
    </row>
    <row r="20" ht="20.05" customHeight="1">
      <c r="B20" s="34">
        <v>2019</v>
      </c>
      <c r="C20" s="19">
        <v>813</v>
      </c>
      <c r="D20" s="20">
        <v>7028</v>
      </c>
      <c r="E20" s="20">
        <f>D20-C20</f>
        <v>6215</v>
      </c>
      <c r="F20" s="20">
        <f>1889+957</f>
        <v>2846</v>
      </c>
      <c r="G20" s="20">
        <v>2609</v>
      </c>
      <c r="H20" s="20">
        <v>4419</v>
      </c>
      <c r="I20" s="20">
        <f>G20+H20-C20-E20</f>
        <v>0</v>
      </c>
      <c r="J20" s="20">
        <f>C20-G20</f>
        <v>-1796</v>
      </c>
      <c r="K20" s="20"/>
    </row>
    <row r="21" ht="20.05" customHeight="1">
      <c r="B21" s="33"/>
      <c r="C21" s="19">
        <v>895</v>
      </c>
      <c r="D21" s="20">
        <v>7157</v>
      </c>
      <c r="E21" s="20">
        <f>D21-C21</f>
        <v>6262</v>
      </c>
      <c r="F21" s="20">
        <f>989+1942</f>
        <v>2931</v>
      </c>
      <c r="G21" s="20">
        <v>2714</v>
      </c>
      <c r="H21" s="20">
        <v>4443</v>
      </c>
      <c r="I21" s="20">
        <f>G21+H21-C21-E21</f>
        <v>0</v>
      </c>
      <c r="J21" s="20">
        <f>C21-G21</f>
        <v>-1819</v>
      </c>
      <c r="K21" s="20"/>
    </row>
    <row r="22" ht="20.05" customHeight="1">
      <c r="B22" s="33"/>
      <c r="C22" s="19">
        <v>1008</v>
      </c>
      <c r="D22" s="20">
        <v>7241</v>
      </c>
      <c r="E22" s="20">
        <f>D22-C22</f>
        <v>6233</v>
      </c>
      <c r="F22" s="20">
        <f>1996+1024</f>
        <v>3020</v>
      </c>
      <c r="G22" s="20">
        <v>2712</v>
      </c>
      <c r="H22" s="20">
        <v>4529</v>
      </c>
      <c r="I22" s="20">
        <f>G22+H22-C22-E22</f>
        <v>0</v>
      </c>
      <c r="J22" s="20">
        <f>C22-G22</f>
        <v>-1704</v>
      </c>
      <c r="K22" s="20"/>
    </row>
    <row r="23" ht="20.05" customHeight="1">
      <c r="B23" s="33"/>
      <c r="C23" s="19">
        <v>1576</v>
      </c>
      <c r="D23" s="20">
        <v>7216.9</v>
      </c>
      <c r="E23" s="20">
        <f>D23-C23</f>
        <v>5640.9</v>
      </c>
      <c r="F23" s="20">
        <f>2009+1076</f>
        <v>3085</v>
      </c>
      <c r="G23" s="20">
        <v>3233.7</v>
      </c>
      <c r="H23" s="20">
        <v>3983.3</v>
      </c>
      <c r="I23" s="20">
        <f>G23+H23-C23-E23</f>
        <v>0.1</v>
      </c>
      <c r="J23" s="20">
        <f>C23-G23</f>
        <v>-1657.7</v>
      </c>
      <c r="K23" s="20"/>
    </row>
    <row r="24" ht="20.05" customHeight="1">
      <c r="B24" s="34">
        <v>2020</v>
      </c>
      <c r="C24" s="19">
        <v>1251</v>
      </c>
      <c r="D24" s="20">
        <v>6924</v>
      </c>
      <c r="E24" s="20">
        <f>D24-C24</f>
        <v>5673</v>
      </c>
      <c r="F24" s="20">
        <f>2073+1113</f>
        <v>3186</v>
      </c>
      <c r="G24" s="20">
        <v>2946</v>
      </c>
      <c r="H24" s="20">
        <v>3978</v>
      </c>
      <c r="I24" s="20">
        <f>G24+H24-C24-E24</f>
        <v>0</v>
      </c>
      <c r="J24" s="20">
        <f>C24-G24</f>
        <v>-1695</v>
      </c>
      <c r="K24" s="20"/>
    </row>
    <row r="25" ht="20.05" customHeight="1">
      <c r="B25" s="33"/>
      <c r="C25" s="19">
        <v>1075</v>
      </c>
      <c r="D25" s="20">
        <v>6644</v>
      </c>
      <c r="E25" s="20">
        <f>D25-C25</f>
        <v>5569</v>
      </c>
      <c r="F25" s="20">
        <f>2139+1147</f>
        <v>3286</v>
      </c>
      <c r="G25" s="20">
        <v>2695</v>
      </c>
      <c r="H25" s="20">
        <v>3949</v>
      </c>
      <c r="I25" s="20">
        <f>G25+H25-C25-E25</f>
        <v>0</v>
      </c>
      <c r="J25" s="20">
        <f>C25-G25</f>
        <v>-1620</v>
      </c>
      <c r="K25" s="20"/>
    </row>
    <row r="26" ht="20.05" customHeight="1">
      <c r="B26" s="33"/>
      <c r="C26" s="19">
        <v>1186</v>
      </c>
      <c r="D26" s="20">
        <v>6471</v>
      </c>
      <c r="E26" s="20">
        <f>D26-C26</f>
        <v>5285</v>
      </c>
      <c r="F26" s="20">
        <f>2200+1191</f>
        <v>3391</v>
      </c>
      <c r="G26" s="20">
        <v>2582</v>
      </c>
      <c r="H26" s="20">
        <v>3889</v>
      </c>
      <c r="I26" s="20">
        <f>G26+H26-C26-E26</f>
        <v>0</v>
      </c>
      <c r="J26" s="20">
        <f>C26-G26</f>
        <v>-1396</v>
      </c>
      <c r="K26" s="20"/>
    </row>
    <row r="27" ht="20.05" customHeight="1">
      <c r="B27" s="33"/>
      <c r="C27" s="19">
        <v>1174</v>
      </c>
      <c r="D27" s="20">
        <v>6382</v>
      </c>
      <c r="E27" s="20">
        <f>D27-C27</f>
        <v>5208</v>
      </c>
      <c r="F27" s="20">
        <f>F26+'Sales'!E27</f>
        <v>3518</v>
      </c>
      <c r="G27" s="20">
        <v>2430</v>
      </c>
      <c r="H27" s="20">
        <v>3952</v>
      </c>
      <c r="I27" s="20">
        <f>G27+H27-C27-E27</f>
        <v>0</v>
      </c>
      <c r="J27" s="20">
        <f>C27-G27</f>
        <v>-1256</v>
      </c>
      <c r="K27" s="20"/>
    </row>
    <row r="28" ht="20.05" customHeight="1">
      <c r="B28" s="34">
        <v>2021</v>
      </c>
      <c r="C28" s="19">
        <v>1190</v>
      </c>
      <c r="D28" s="20">
        <v>6485</v>
      </c>
      <c r="E28" s="20">
        <f>D28-C28</f>
        <v>5295</v>
      </c>
      <c r="F28" s="20">
        <f>2339+1285+148</f>
        <v>3772</v>
      </c>
      <c r="G28" s="20">
        <v>2385</v>
      </c>
      <c r="H28" s="20">
        <v>4100</v>
      </c>
      <c r="I28" s="20">
        <f>G28+H28-C28-E28</f>
        <v>0</v>
      </c>
      <c r="J28" s="20">
        <f>C28-G28</f>
        <v>-1195</v>
      </c>
      <c r="K28" s="20"/>
    </row>
    <row r="29" ht="20.05" customHeight="1">
      <c r="B29" s="33"/>
      <c r="C29" s="19">
        <v>1208</v>
      </c>
      <c r="D29" s="20">
        <v>6739</v>
      </c>
      <c r="E29" s="20">
        <f>D29-C29</f>
        <v>5531</v>
      </c>
      <c r="F29" s="20">
        <f>2407+6+1334+148</f>
        <v>3895</v>
      </c>
      <c r="G29" s="20">
        <v>2693</v>
      </c>
      <c r="H29" s="20">
        <v>4046</v>
      </c>
      <c r="I29" s="20">
        <f>G29+H29-C29-E29</f>
        <v>0</v>
      </c>
      <c r="J29" s="20">
        <f>C29-G29</f>
        <v>-1485</v>
      </c>
      <c r="K29" s="20"/>
    </row>
    <row r="30" ht="20.05" customHeight="1">
      <c r="B30" s="33"/>
      <c r="C30" s="19">
        <v>1511</v>
      </c>
      <c r="D30" s="20">
        <v>7118</v>
      </c>
      <c r="E30" s="20">
        <f>D30-C30</f>
        <v>5607</v>
      </c>
      <c r="F30" s="20">
        <f>2473+6+1382+148</f>
        <v>4009</v>
      </c>
      <c r="G30" s="20">
        <v>2794</v>
      </c>
      <c r="H30" s="20">
        <v>4324</v>
      </c>
      <c r="I30" s="20">
        <f>G30+H30-C30-E30</f>
        <v>0</v>
      </c>
      <c r="J30" s="20">
        <f>C30-G30</f>
        <v>-1283</v>
      </c>
      <c r="K30" s="20">
        <f>J30</f>
        <v>-1283</v>
      </c>
    </row>
    <row r="31" ht="20.05" customHeight="1">
      <c r="B31" s="33"/>
      <c r="C31" s="19"/>
      <c r="D31" s="20"/>
      <c r="E31" s="20"/>
      <c r="F31" s="20"/>
      <c r="G31" s="20"/>
      <c r="H31" s="20"/>
      <c r="I31" s="20"/>
      <c r="J31" s="20"/>
      <c r="K31" s="20">
        <f>'Model'!F30</f>
        <v>-809.2931823901999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125" style="37" customWidth="1"/>
    <col min="2" max="2" width="5.97656" style="37" customWidth="1"/>
    <col min="3" max="4" width="10.0703" style="37" customWidth="1"/>
    <col min="5" max="16384" width="16.3516" style="37" customWidth="1"/>
  </cols>
  <sheetData>
    <row r="1" ht="18.45" customHeight="1"/>
    <row r="2" ht="27.65" customHeight="1">
      <c r="B2" t="s" s="2">
        <v>60</v>
      </c>
      <c r="C2" s="2"/>
      <c r="D2" s="2"/>
    </row>
    <row r="3" ht="20.25" customHeight="1">
      <c r="B3" s="5"/>
      <c r="C3" t="s" s="38">
        <v>61</v>
      </c>
      <c r="D3" t="s" s="38">
        <v>38</v>
      </c>
    </row>
    <row r="4" ht="20.25" customHeight="1">
      <c r="B4" s="27">
        <v>2018</v>
      </c>
      <c r="C4" s="28">
        <v>2130</v>
      </c>
      <c r="D4" s="8"/>
    </row>
    <row r="5" ht="20.05" customHeight="1">
      <c r="B5" s="33"/>
      <c r="C5" s="19">
        <v>1790</v>
      </c>
      <c r="D5" s="24"/>
    </row>
    <row r="6" ht="20.05" customHeight="1">
      <c r="B6" s="33"/>
      <c r="C6" s="19">
        <v>1835</v>
      </c>
      <c r="D6" s="24"/>
    </row>
    <row r="7" ht="20.05" customHeight="1">
      <c r="B7" s="33"/>
      <c r="C7" s="19">
        <v>1215</v>
      </c>
      <c r="D7" s="24"/>
    </row>
    <row r="8" ht="20.05" customHeight="1">
      <c r="B8" s="34">
        <v>2019</v>
      </c>
      <c r="C8" s="19">
        <v>1345</v>
      </c>
      <c r="D8" s="24"/>
    </row>
    <row r="9" ht="20.05" customHeight="1">
      <c r="B9" s="33"/>
      <c r="C9" s="19">
        <v>1360</v>
      </c>
      <c r="D9" s="24"/>
    </row>
    <row r="10" ht="20.05" customHeight="1">
      <c r="B10" s="33"/>
      <c r="C10" s="19">
        <v>1290</v>
      </c>
      <c r="D10" s="20"/>
    </row>
    <row r="11" ht="20.05" customHeight="1">
      <c r="B11" s="33"/>
      <c r="C11" s="19">
        <v>1555</v>
      </c>
      <c r="D11" s="24"/>
    </row>
    <row r="12" ht="20.05" customHeight="1">
      <c r="B12" s="34">
        <v>2020</v>
      </c>
      <c r="C12" s="19">
        <v>990</v>
      </c>
      <c r="D12" s="24"/>
    </row>
    <row r="13" ht="20.05" customHeight="1">
      <c r="B13" s="33"/>
      <c r="C13" s="19">
        <v>995</v>
      </c>
      <c r="D13" s="24"/>
    </row>
    <row r="14" ht="20.05" customHeight="1">
      <c r="B14" s="33"/>
      <c r="C14" s="19">
        <v>1135</v>
      </c>
      <c r="D14" s="24"/>
    </row>
    <row r="15" ht="20.05" customHeight="1">
      <c r="B15" s="33"/>
      <c r="C15" s="19">
        <v>1430</v>
      </c>
      <c r="D15" s="24"/>
    </row>
    <row r="16" ht="20.05" customHeight="1">
      <c r="B16" s="34">
        <v>2021</v>
      </c>
      <c r="C16" s="19">
        <v>1175</v>
      </c>
      <c r="D16" s="24"/>
    </row>
    <row r="17" ht="20.05" customHeight="1">
      <c r="B17" s="33"/>
      <c r="C17" s="19">
        <v>1205</v>
      </c>
      <c r="D17" s="24"/>
    </row>
    <row r="18" ht="20.05" customHeight="1">
      <c r="B18" s="33"/>
      <c r="C18" s="19">
        <v>1760</v>
      </c>
      <c r="D18" s="24"/>
    </row>
    <row r="19" ht="20.05" customHeight="1">
      <c r="B19" s="33"/>
      <c r="C19" s="19">
        <v>1755</v>
      </c>
      <c r="D19" s="20">
        <f>C19</f>
        <v>1755</v>
      </c>
    </row>
    <row r="20" ht="20.05" customHeight="1">
      <c r="B20" s="33"/>
      <c r="C20" s="19"/>
      <c r="D20" s="20">
        <f>'Model'!F43</f>
        <v>5168.962383472510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