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<sst xmlns="http://schemas.openxmlformats.org/spreadsheetml/2006/main" uniqueCount="58">
  <si>
    <t>Financial model</t>
  </si>
  <si>
    <t>Rpbn</t>
  </si>
  <si>
    <t>4Q 2021</t>
  </si>
  <si>
    <t>Cash flow</t>
  </si>
  <si>
    <t>Growth</t>
  </si>
  <si>
    <t>Sales</t>
  </si>
  <si>
    <t>Cost ratio</t>
  </si>
  <si>
    <t xml:space="preserve">Cash costs </t>
  </si>
  <si>
    <t>Operating</t>
  </si>
  <si>
    <t>Investment</t>
  </si>
  <si>
    <t>Finance</t>
  </si>
  <si>
    <t xml:space="preserve">Liabilities </t>
  </si>
  <si>
    <t>Equity</t>
  </si>
  <si>
    <t xml:space="preserve">Before revolver </t>
  </si>
  <si>
    <t xml:space="preserve">Revolver </t>
  </si>
  <si>
    <t>Beginning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</si>
  <si>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</si>
  <si>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</si>
  <si>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</si>
  <si>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</si>
  <si>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</si>
  <si>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</si>
  <si>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</si>
  <si>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</si>
  <si>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</si>
  <si>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</si>
  <si>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</si>
  <si>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>Net cash</t>
  </si>
  <si>
    <t xml:space="preserve">Valuation </t>
  </si>
  <si>
    <t xml:space="preserve">Capital </t>
  </si>
  <si>
    <t xml:space="preserve">Current value </t>
  </si>
  <si>
    <t>P/assets</t>
  </si>
  <si>
    <t>Yield</t>
  </si>
  <si>
    <t>Cashflow</t>
  </si>
  <si>
    <t xml:space="preserve">Payback </t>
  </si>
  <si>
    <t xml:space="preserve">Forecast </t>
  </si>
  <si>
    <t xml:space="preserve">Value </t>
  </si>
  <si>
    <t>Shares</t>
  </si>
  <si>
    <t>Target</t>
  </si>
  <si>
    <t xml:space="preserve">Current </t>
  </si>
  <si>
    <t>V target</t>
  </si>
  <si>
    <t xml:space="preserve">12 month growth </t>
  </si>
  <si>
    <t xml:space="preserve">Sales forecasts </t>
  </si>
  <si>
    <t xml:space="preserve">Sales growth </t>
  </si>
  <si>
    <t xml:space="preserve">Cost ratio </t>
  </si>
  <si>
    <t>Cashflow costs</t>
  </si>
  <si>
    <t xml:space="preserve">Receipts </t>
  </si>
  <si>
    <t xml:space="preserve">Operating </t>
  </si>
  <si>
    <t xml:space="preserve">Investment </t>
  </si>
  <si>
    <t>Interest</t>
  </si>
  <si>
    <t xml:space="preserve">Free cashflow </t>
  </si>
  <si>
    <t xml:space="preserve">Cashflow </t>
  </si>
  <si>
    <t>Balance Sheet</t>
  </si>
  <si>
    <t>Cash</t>
  </si>
  <si>
    <t>Assets</t>
  </si>
  <si>
    <t>Liabilities</t>
  </si>
  <si>
    <t>Trading Data</t>
  </si>
  <si>
    <t>ADHI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</si>
</sst>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,##0%"/>
    <numFmt numFmtId="60" formatCode="#,##0.0"/>
    <numFmt numFmtId="61" formatCode="0.0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60" fontId="0" borderId="4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619726</xdr:colOff>
      <xdr:row>1</xdr:row>
      <xdr:rowOff>333678</xdr:rowOff>
    </xdr:from>
    <xdr:to>
      <xdr:col>13</xdr:col>
      <xdr:colOff>20943</xdr:colOff>
      <xdr:row>46</xdr:row>
      <xdr:rowOff>54799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772626" y="595933"/>
          <a:ext cx="8113418" cy="1128129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15625" style="1" customWidth="1"/>
    <col min="2" max="2" width="15.6172" style="1" customWidth="1"/>
    <col min="3" max="6" width="8.71875" style="1" customWidth="1"/>
    <col min="7" max="16384" width="16.3516" style="1" customWidth="1"/>
  </cols>
  <sheetData>
    <row r="1" ht="20.6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3">
        <v>2</v>
      </c>
      <c r="D3" s="4"/>
      <c r="E3" s="4"/>
      <c r="F3" s="4"/>
    </row>
    <row r="4" ht="20.25" customHeight="1">
      <c r="B4" t="s" s="5">
        <v>3</v>
      </c>
      <c r="C4" s="6">
        <f>AVERAGE('Sales'!G19:G22)</f>
        <v>0.0124827985351315</v>
      </c>
      <c r="D4" s="7"/>
      <c r="E4" s="7"/>
      <c r="F4" s="8">
        <f>AVERAGE(C5:F5)</f>
        <v>0.1225</v>
      </c>
    </row>
    <row r="5" ht="20.05" customHeight="1">
      <c r="B5" t="s" s="9">
        <v>4</v>
      </c>
      <c r="C5" s="10">
        <v>0.35</v>
      </c>
      <c r="D5" s="11">
        <v>-0.11</v>
      </c>
      <c r="E5" s="11">
        <v>0.1</v>
      </c>
      <c r="F5" s="11">
        <v>0.15</v>
      </c>
    </row>
    <row r="6" ht="20.05" customHeight="1">
      <c r="B6" t="s" s="9">
        <v>5</v>
      </c>
      <c r="C6" s="12">
        <f>'Sales'!C22*(1+C5)</f>
        <v>3923.235</v>
      </c>
      <c r="D6" s="13">
        <f>C6*(1+D5)</f>
        <v>3491.67915</v>
      </c>
      <c r="E6" s="13">
        <f>D6*(1+E5)</f>
        <v>3840.847065</v>
      </c>
      <c r="F6" s="13">
        <f>E6*(1+F5)</f>
        <v>4416.97412475</v>
      </c>
    </row>
    <row r="7" ht="20.05" customHeight="1">
      <c r="B7" t="s" s="9">
        <v>6</v>
      </c>
      <c r="C7" s="14">
        <f>AVERAGE('Sales'!H20)</f>
        <v>-0.974931545651969</v>
      </c>
      <c r="D7" s="15">
        <f>C7</f>
        <v>-0.974931545651969</v>
      </c>
      <c r="E7" s="15">
        <f>D7</f>
        <v>-0.974931545651969</v>
      </c>
      <c r="F7" s="15">
        <f>E7</f>
        <v>-0.974931545651969</v>
      </c>
    </row>
    <row r="8" ht="20.05" customHeight="1">
      <c r="B8" t="s" s="9">
        <v>7</v>
      </c>
      <c r="C8" s="16">
        <f>C7*C6</f>
        <v>-3824.8855625059</v>
      </c>
      <c r="D8" s="17">
        <f>D7*D6</f>
        <v>-3404.148150630250</v>
      </c>
      <c r="E8" s="17">
        <f>E7*E6</f>
        <v>-3744.562965693280</v>
      </c>
      <c r="F8" s="17">
        <f>F7*F6</f>
        <v>-4306.247410547270</v>
      </c>
    </row>
    <row r="9" ht="20.05" customHeight="1">
      <c r="B9" t="s" s="9">
        <v>8</v>
      </c>
      <c r="C9" s="16">
        <f>C6+C8</f>
        <v>98.3494374941</v>
      </c>
      <c r="D9" s="17">
        <f>D6+D8</f>
        <v>87.53099936975001</v>
      </c>
      <c r="E9" s="17">
        <f>E6+E8</f>
        <v>96.28409930671999</v>
      </c>
      <c r="F9" s="17">
        <f>F6+F8</f>
        <v>110.726714202730</v>
      </c>
    </row>
    <row r="10" ht="20.05" customHeight="1">
      <c r="B10" t="s" s="9">
        <v>9</v>
      </c>
      <c r="C10" s="16">
        <f>AVERAGE('Cashflow '!E20)</f>
        <v>-14.6</v>
      </c>
      <c r="D10" s="17">
        <f>C10</f>
        <v>-14.6</v>
      </c>
      <c r="E10" s="17">
        <f>D10</f>
        <v>-14.6</v>
      </c>
      <c r="F10" s="17">
        <f>E10</f>
        <v>-14.6</v>
      </c>
    </row>
    <row r="11" ht="20.05" customHeight="1">
      <c r="B11" t="s" s="9">
        <v>10</v>
      </c>
      <c r="C11" s="16">
        <f>C12+C13+C15</f>
        <v>-83.74943749409999</v>
      </c>
      <c r="D11" s="17">
        <f>D12+D13+D15</f>
        <v>-72.930999369745</v>
      </c>
      <c r="E11" s="17">
        <f>E12+E13+E15</f>
        <v>-81.68409930671601</v>
      </c>
      <c r="F11" s="17">
        <f>F12+F13+F15</f>
        <v>-96.126714202729</v>
      </c>
    </row>
    <row r="12" ht="20.05" customHeight="1">
      <c r="B12" t="s" s="9">
        <v>11</v>
      </c>
      <c r="C12" s="16">
        <f>-('Balance sheet'!G18)/20</f>
        <v>-1758.05</v>
      </c>
      <c r="D12" s="17">
        <f>-C26/20</f>
        <v>-1670.1475</v>
      </c>
      <c r="E12" s="17">
        <f>-D26/20</f>
        <v>-1586.640125</v>
      </c>
      <c r="F12" s="17">
        <f>-E26/20</f>
        <v>-1507.30811875</v>
      </c>
    </row>
    <row r="13" ht="20.05" customHeight="1">
      <c r="B13" t="s" s="9">
        <v>12</v>
      </c>
      <c r="C13" s="16">
        <f>IF(C21&gt;0,-C21*0.3,0)</f>
        <v>-15.044831248230</v>
      </c>
      <c r="D13" s="17">
        <f>IF(D21&gt;0,-D21*0.3,0)</f>
        <v>-11.799299810925</v>
      </c>
      <c r="E13" s="17">
        <f>IF(E21&gt;0,-E21*0.3,0)</f>
        <v>-14.425229792016</v>
      </c>
      <c r="F13" s="17">
        <f>IF(F21&gt;0,-F21*0.3,0)</f>
        <v>-18.758014260819</v>
      </c>
    </row>
    <row r="14" ht="20.05" customHeight="1">
      <c r="B14" t="s" s="9">
        <v>13</v>
      </c>
      <c r="C14" s="16">
        <f>C9+C10+C12+C13</f>
        <v>-1689.345393754130</v>
      </c>
      <c r="D14" s="17">
        <f>D9+D10+D12+D13</f>
        <v>-1609.015800441180</v>
      </c>
      <c r="E14" s="17">
        <f>E9+E10+E12+E13</f>
        <v>-1519.3812554853</v>
      </c>
      <c r="F14" s="17">
        <f>F9+F10+F12+F13</f>
        <v>-1429.939418808090</v>
      </c>
    </row>
    <row r="15" ht="20.05" customHeight="1">
      <c r="B15" t="s" s="9">
        <v>14</v>
      </c>
      <c r="C15" s="16">
        <f>-MIN(0,C14)</f>
        <v>1689.345393754130</v>
      </c>
      <c r="D15" s="17">
        <f>-MIN(C27,D14)</f>
        <v>1609.015800441180</v>
      </c>
      <c r="E15" s="17">
        <f>-MIN(D27,E14)</f>
        <v>1519.3812554853</v>
      </c>
      <c r="F15" s="17">
        <f>-MIN(E27,F14)</f>
        <v>1429.939418808090</v>
      </c>
    </row>
    <row r="16" ht="20.05" customHeight="1">
      <c r="B16" t="s" s="9">
        <v>15</v>
      </c>
      <c r="C16" s="16">
        <f>'Balance sheet'!C18</f>
        <v>1625</v>
      </c>
      <c r="D16" s="17">
        <f>C18</f>
        <v>1625</v>
      </c>
      <c r="E16" s="17">
        <f>D18</f>
        <v>1625.000000000010</v>
      </c>
      <c r="F16" s="17">
        <f>E18</f>
        <v>1625.000000000010</v>
      </c>
    </row>
    <row r="17" ht="20.05" customHeight="1">
      <c r="B17" t="s" s="9">
        <v>16</v>
      </c>
      <c r="C17" s="16">
        <f>C9+C10+C11</f>
        <v>0</v>
      </c>
      <c r="D17" s="17">
        <f>D9+D10+D11</f>
        <v>5e-12</v>
      </c>
      <c r="E17" s="17">
        <f>E9+E10+E11</f>
        <v>4e-12</v>
      </c>
      <c r="F17" s="17">
        <f>F9+F10+F11</f>
        <v>1e-12</v>
      </c>
    </row>
    <row r="18" ht="20.05" customHeight="1">
      <c r="B18" t="s" s="9">
        <v>17</v>
      </c>
      <c r="C18" s="16">
        <f>C16+C17</f>
        <v>1625</v>
      </c>
      <c r="D18" s="17">
        <f>D16+D17</f>
        <v>1625.000000000010</v>
      </c>
      <c r="E18" s="17">
        <f>E16+E17</f>
        <v>1625.000000000010</v>
      </c>
      <c r="F18" s="17">
        <f>F16+F17</f>
        <v>1625.000000000010</v>
      </c>
    </row>
    <row r="19" ht="20.05" customHeight="1">
      <c r="B19" t="s" s="18">
        <v>18</v>
      </c>
      <c r="C19" s="19"/>
      <c r="D19" s="20"/>
      <c r="E19" s="17"/>
      <c r="F19" s="21"/>
    </row>
    <row r="20" ht="20.05" customHeight="1">
      <c r="B20" t="s" s="9">
        <v>19</v>
      </c>
      <c r="C20" s="16">
        <f>-AVERAGE('Sales'!E22)</f>
        <v>-48.2</v>
      </c>
      <c r="D20" s="17">
        <f>C20</f>
        <v>-48.2</v>
      </c>
      <c r="E20" s="17">
        <f>D20</f>
        <v>-48.2</v>
      </c>
      <c r="F20" s="17">
        <f>E20</f>
        <v>-48.2</v>
      </c>
    </row>
    <row r="21" ht="20.05" customHeight="1">
      <c r="B21" t="s" s="9">
        <v>20</v>
      </c>
      <c r="C21" s="22">
        <f>C6+C8+C20</f>
        <v>50.1494374941</v>
      </c>
      <c r="D21" s="23">
        <f>D6+D8+D20</f>
        <v>39.330999369750</v>
      </c>
      <c r="E21" s="23">
        <f>E6+E8+E20</f>
        <v>48.084099306720</v>
      </c>
      <c r="F21" s="23">
        <f>F6+F8+F20</f>
        <v>62.526714202730</v>
      </c>
    </row>
    <row r="22" ht="20.05" customHeight="1">
      <c r="B22" t="s" s="18">
        <v>21</v>
      </c>
      <c r="C22" s="19"/>
      <c r="D22" s="20"/>
      <c r="E22" s="17"/>
      <c r="F22" s="17"/>
    </row>
    <row r="23" ht="20.05" customHeight="1">
      <c r="B23" t="s" s="9">
        <v>22</v>
      </c>
      <c r="C23" s="16">
        <f>'Balance sheet'!E18+'Balance sheet'!F18-C10</f>
        <v>40218.6</v>
      </c>
      <c r="D23" s="17">
        <f>C23-D10</f>
        <v>40233.2</v>
      </c>
      <c r="E23" s="17">
        <f>D23-E10</f>
        <v>40247.8</v>
      </c>
      <c r="F23" s="17">
        <f>E23-F10</f>
        <v>40262.4</v>
      </c>
    </row>
    <row r="24" ht="20.05" customHeight="1">
      <c r="B24" t="s" s="9">
        <v>23</v>
      </c>
      <c r="C24" s="16">
        <f>'Balance sheet'!F18-C20</f>
        <v>1118.2</v>
      </c>
      <c r="D24" s="17">
        <f>C24-D20</f>
        <v>1166.4</v>
      </c>
      <c r="E24" s="17">
        <f>D24-E20</f>
        <v>1214.6</v>
      </c>
      <c r="F24" s="17">
        <f>E24-F20</f>
        <v>1262.8</v>
      </c>
    </row>
    <row r="25" ht="20.05" customHeight="1">
      <c r="B25" t="s" s="9">
        <v>24</v>
      </c>
      <c r="C25" s="16">
        <f>C23-C24</f>
        <v>39100.4</v>
      </c>
      <c r="D25" s="17">
        <f>D23-D24</f>
        <v>39066.8</v>
      </c>
      <c r="E25" s="17">
        <f>E23-E24</f>
        <v>39033.2</v>
      </c>
      <c r="F25" s="17">
        <f>F23-F24</f>
        <v>38999.6</v>
      </c>
    </row>
    <row r="26" ht="20.05" customHeight="1">
      <c r="B26" t="s" s="9">
        <v>11</v>
      </c>
      <c r="C26" s="16">
        <f>'Balance sheet'!G18+C12</f>
        <v>33402.95</v>
      </c>
      <c r="D26" s="17">
        <f>C26+D12</f>
        <v>31732.8025</v>
      </c>
      <c r="E26" s="17">
        <f>D26+E12</f>
        <v>30146.162375</v>
      </c>
      <c r="F26" s="17">
        <f>E26+F12</f>
        <v>28638.85425625</v>
      </c>
    </row>
    <row r="27" ht="20.05" customHeight="1">
      <c r="B27" t="s" s="9">
        <v>14</v>
      </c>
      <c r="C27" s="16">
        <f>C15</f>
        <v>1689.345393754130</v>
      </c>
      <c r="D27" s="17">
        <f>C27+D15</f>
        <v>3298.361194195310</v>
      </c>
      <c r="E27" s="17">
        <f>D27+E15</f>
        <v>4817.742449680610</v>
      </c>
      <c r="F27" s="17">
        <f>E27+F15</f>
        <v>6247.6818684887</v>
      </c>
    </row>
    <row r="28" ht="20.05" customHeight="1">
      <c r="B28" t="s" s="9">
        <v>25</v>
      </c>
      <c r="C28" s="16">
        <f>'Balance sheet'!H18+C21+C13</f>
        <v>5633.104606245870</v>
      </c>
      <c r="D28" s="17">
        <f>C28+D21+D13</f>
        <v>5660.6363058047</v>
      </c>
      <c r="E28" s="17">
        <f>D28+E21+E13</f>
        <v>5694.2951753194</v>
      </c>
      <c r="F28" s="17">
        <f>E28+F21+F13</f>
        <v>5738.063875261310</v>
      </c>
    </row>
    <row r="29" ht="20.05" customHeight="1">
      <c r="B29" t="s" s="9">
        <v>26</v>
      </c>
      <c r="C29" s="16">
        <f>C26+C27+C28-C18-C25</f>
        <v>0</v>
      </c>
      <c r="D29" s="17">
        <f>D26+D27+D28-D18-D25</f>
        <v>0</v>
      </c>
      <c r="E29" s="17">
        <f>E26+E27+E28-E18-E25</f>
        <v>0</v>
      </c>
      <c r="F29" s="17">
        <f>F26+F27+F28-F18-F25</f>
        <v>0</v>
      </c>
    </row>
    <row r="30" ht="20.05" customHeight="1">
      <c r="B30" t="s" s="9">
        <v>27</v>
      </c>
      <c r="C30" s="16">
        <f>C18-C26-C27</f>
        <v>-33467.2953937541</v>
      </c>
      <c r="D30" s="17">
        <f>D18-D26-D27</f>
        <v>-33406.1636941953</v>
      </c>
      <c r="E30" s="17">
        <f>E18-E26-E27</f>
        <v>-33338.9048246806</v>
      </c>
      <c r="F30" s="17">
        <f>F18-F26-F27</f>
        <v>-33261.5361247387</v>
      </c>
    </row>
    <row r="31" ht="20.05" customHeight="1">
      <c r="B31" t="s" s="18">
        <v>28</v>
      </c>
      <c r="C31" s="16"/>
      <c r="D31" s="17"/>
      <c r="E31" s="17"/>
      <c r="F31" s="17"/>
    </row>
    <row r="32" ht="20.05" customHeight="1">
      <c r="B32" t="s" s="9">
        <v>29</v>
      </c>
      <c r="C32" s="16">
        <f>'Cashflow '!L22-C11</f>
        <v>-6733.3725625059</v>
      </c>
      <c r="D32" s="17">
        <f>C32-D11</f>
        <v>-6660.441563136160</v>
      </c>
      <c r="E32" s="17">
        <f>D32-E11</f>
        <v>-6578.757463829440</v>
      </c>
      <c r="F32" s="17">
        <f>E32-F11</f>
        <v>-6482.630749626710</v>
      </c>
    </row>
    <row r="33" ht="20.05" customHeight="1">
      <c r="B33" t="s" s="9">
        <v>30</v>
      </c>
      <c r="C33" s="16"/>
      <c r="D33" s="17"/>
      <c r="E33" s="17"/>
      <c r="F33" s="17">
        <v>3169</v>
      </c>
    </row>
    <row r="34" ht="20.05" customHeight="1">
      <c r="B34" t="s" s="9">
        <v>31</v>
      </c>
      <c r="C34" s="16"/>
      <c r="D34" s="17"/>
      <c r="E34" s="17"/>
      <c r="F34" s="24">
        <f>F33/(F18+F25)</f>
        <v>0.07800692191430809</v>
      </c>
    </row>
    <row r="35" ht="20.05" customHeight="1">
      <c r="B35" t="s" s="9">
        <v>32</v>
      </c>
      <c r="C35" s="16"/>
      <c r="D35" s="17"/>
      <c r="E35" s="17"/>
      <c r="F35" s="15">
        <f>-(C13+D13+E13+F13)/F33</f>
        <v>0.0189420558889208</v>
      </c>
    </row>
    <row r="36" ht="20.05" customHeight="1">
      <c r="B36" t="s" s="9">
        <v>33</v>
      </c>
      <c r="C36" s="16"/>
      <c r="D36" s="17"/>
      <c r="E36" s="17"/>
      <c r="F36" s="17">
        <f>SUM(C9:F10)</f>
        <v>334.4912503733</v>
      </c>
    </row>
    <row r="37" ht="20.05" customHeight="1">
      <c r="B37" t="s" s="9">
        <v>34</v>
      </c>
      <c r="C37" s="16"/>
      <c r="D37" s="17"/>
      <c r="E37" s="17"/>
      <c r="F37" s="17">
        <f>'Balance sheet'!E18/F36</f>
        <v>116.995586450544</v>
      </c>
    </row>
    <row r="38" ht="20.05" customHeight="1">
      <c r="B38" t="s" s="9">
        <v>28</v>
      </c>
      <c r="C38" s="16"/>
      <c r="D38" s="17"/>
      <c r="E38" s="17"/>
      <c r="F38" s="17">
        <f>F33/F36</f>
        <v>9.474089371435941</v>
      </c>
    </row>
    <row r="39" ht="20.05" customHeight="1">
      <c r="B39" t="s" s="9">
        <v>35</v>
      </c>
      <c r="C39" s="16"/>
      <c r="D39" s="17"/>
      <c r="E39" s="17"/>
      <c r="F39" s="17">
        <v>10</v>
      </c>
    </row>
    <row r="40" ht="20.05" customHeight="1">
      <c r="B40" t="s" s="9">
        <v>36</v>
      </c>
      <c r="C40" s="16"/>
      <c r="D40" s="17"/>
      <c r="E40" s="17"/>
      <c r="F40" s="17">
        <f>F36*F39</f>
        <v>3344.912503733</v>
      </c>
    </row>
    <row r="41" ht="20.05" customHeight="1">
      <c r="B41" t="s" s="9">
        <v>37</v>
      </c>
      <c r="C41" s="16"/>
      <c r="D41" s="17"/>
      <c r="E41" s="17"/>
      <c r="F41" s="17">
        <f>F33/F43</f>
        <v>3.56067415730337</v>
      </c>
    </row>
    <row r="42" ht="20.05" customHeight="1">
      <c r="B42" t="s" s="9">
        <v>38</v>
      </c>
      <c r="C42" s="12"/>
      <c r="D42" s="13"/>
      <c r="E42" s="13"/>
      <c r="F42" s="17">
        <f>F40/F41</f>
        <v>939.404268956255</v>
      </c>
    </row>
    <row r="43" ht="20.05" customHeight="1">
      <c r="B43" t="s" s="9">
        <v>39</v>
      </c>
      <c r="C43" s="12"/>
      <c r="D43" s="13"/>
      <c r="E43" s="13"/>
      <c r="F43" s="13">
        <f>'Share price'!C20</f>
        <v>890</v>
      </c>
    </row>
    <row r="44" ht="20.05" customHeight="1">
      <c r="B44" t="s" s="9">
        <v>40</v>
      </c>
      <c r="C44" s="12"/>
      <c r="D44" s="13"/>
      <c r="E44" s="13"/>
      <c r="F44" s="15">
        <f>F42/F43-1</f>
        <v>0.0555104145575899</v>
      </c>
    </row>
    <row r="45" ht="20.05" customHeight="1">
      <c r="B45" t="s" s="9">
        <v>41</v>
      </c>
      <c r="C45" s="12"/>
      <c r="D45" s="13"/>
      <c r="E45" s="21"/>
      <c r="F45" s="15">
        <f>'Sales'!C22/'Sales'!C18-1</f>
        <v>-0.00836006278577766</v>
      </c>
    </row>
    <row r="46" ht="20.05" customHeight="1">
      <c r="B46" t="s" s="9">
        <v>42</v>
      </c>
      <c r="C46" s="12"/>
      <c r="D46" s="13"/>
      <c r="E46" s="21"/>
      <c r="F46" s="15">
        <f>'Sales'!D22/'Sales'!C22-1</f>
        <v>-0.247475998761226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2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17188" style="25" customWidth="1"/>
    <col min="2" max="2" width="7.00781" style="25" customWidth="1"/>
    <col min="3" max="10" width="9.10156" style="25" customWidth="1"/>
    <col min="11" max="16384" width="16.3516" style="25" customWidth="1"/>
  </cols>
  <sheetData>
    <row r="1" ht="24.2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26">
        <v>1</v>
      </c>
      <c r="C3" t="s" s="26">
        <v>5</v>
      </c>
      <c r="D3" t="s" s="26">
        <v>35</v>
      </c>
      <c r="E3" t="s" s="26">
        <v>23</v>
      </c>
      <c r="F3" t="s" s="26">
        <v>20</v>
      </c>
      <c r="G3" t="s" s="26">
        <v>43</v>
      </c>
      <c r="H3" t="s" s="26">
        <v>44</v>
      </c>
      <c r="I3" t="s" s="26">
        <v>45</v>
      </c>
      <c r="J3" t="s" s="26">
        <v>45</v>
      </c>
    </row>
    <row r="4" ht="20.25" customHeight="1">
      <c r="B4" s="27">
        <v>2017</v>
      </c>
      <c r="C4" s="28">
        <v>2248.8</v>
      </c>
      <c r="D4" s="29"/>
      <c r="E4" s="30">
        <v>21.2</v>
      </c>
      <c r="F4" s="30">
        <v>19.2</v>
      </c>
      <c r="G4" s="31"/>
      <c r="H4" s="31">
        <f>(E4+F4-C4)/C4</f>
        <v>-0.982034863038065</v>
      </c>
      <c r="I4" s="8"/>
      <c r="J4" s="8">
        <f>('Cashflow '!D4+'Cashflow '!F4-'Cashflow '!C4)/'Cashflow '!C4</f>
        <v>-1.54531532024285</v>
      </c>
    </row>
    <row r="5" ht="20.05" customHeight="1">
      <c r="B5" s="32"/>
      <c r="C5" s="16">
        <v>2935.6</v>
      </c>
      <c r="D5" s="33"/>
      <c r="E5" s="17">
        <v>20.8</v>
      </c>
      <c r="F5" s="17">
        <v>112.3</v>
      </c>
      <c r="G5" s="15">
        <f>C5/C4-1</f>
        <v>0.305407328352899</v>
      </c>
      <c r="H5" s="15">
        <f>(E5+F5-C5)/C5</f>
        <v>-0.95466003542717</v>
      </c>
      <c r="I5" s="11"/>
      <c r="J5" s="11">
        <f>('Cashflow '!D5+'Cashflow '!F5-'Cashflow '!C5)/'Cashflow '!C5</f>
        <v>-1.53540290620872</v>
      </c>
    </row>
    <row r="6" ht="20.05" customHeight="1">
      <c r="B6" s="32"/>
      <c r="C6" s="16">
        <v>3530.5</v>
      </c>
      <c r="D6" s="33"/>
      <c r="E6" s="17">
        <v>22.6</v>
      </c>
      <c r="F6" s="17">
        <v>73.90000000000001</v>
      </c>
      <c r="G6" s="15">
        <f>C6/C5-1</f>
        <v>0.202650224826271</v>
      </c>
      <c r="H6" s="15">
        <f>(E6+F6-C6)/C6</f>
        <v>-0.972666761082</v>
      </c>
      <c r="I6" s="11"/>
      <c r="J6" s="11">
        <f>('Cashflow '!D6+'Cashflow '!F6-'Cashflow '!C6)/'Cashflow '!C6</f>
        <v>-1.3331407346265</v>
      </c>
    </row>
    <row r="7" ht="20.05" customHeight="1">
      <c r="B7" s="32"/>
      <c r="C7" s="16">
        <v>6441.3</v>
      </c>
      <c r="D7" s="33"/>
      <c r="E7" s="17">
        <v>61.1</v>
      </c>
      <c r="F7" s="17">
        <v>311.7</v>
      </c>
      <c r="G7" s="15">
        <f>C7/C6-1</f>
        <v>0.824472454326583</v>
      </c>
      <c r="H7" s="15">
        <f>(E7+F7-C7)/C7</f>
        <v>-0.942123484389797</v>
      </c>
      <c r="I7" s="11"/>
      <c r="J7" s="11">
        <f>('Cashflow '!D7+'Cashflow '!F7-'Cashflow '!C7)/'Cashflow '!C7</f>
        <v>-1.09412150735758</v>
      </c>
    </row>
    <row r="8" ht="20.05" customHeight="1">
      <c r="B8" s="34">
        <v>2018</v>
      </c>
      <c r="C8" s="16">
        <v>3141.9</v>
      </c>
      <c r="D8" s="33"/>
      <c r="E8" s="17">
        <v>36.9</v>
      </c>
      <c r="F8" s="17">
        <v>73.40000000000001</v>
      </c>
      <c r="G8" s="15">
        <f>C8/C7-1</f>
        <v>-0.512225792929999</v>
      </c>
      <c r="H8" s="15">
        <f>(E8+F8-C8)/C8</f>
        <v>-0.964893854037366</v>
      </c>
      <c r="I8" s="11">
        <f>AVERAGE(J5:J8)</f>
        <v>-1.15105095035655</v>
      </c>
      <c r="J8" s="11">
        <f>('Cashflow '!D8+'Cashflow '!F8-'Cashflow '!C8)/'Cashflow '!C8</f>
        <v>-0.641538653233415</v>
      </c>
    </row>
    <row r="9" ht="20.05" customHeight="1">
      <c r="B9" s="32"/>
      <c r="C9" s="16">
        <v>2940.8</v>
      </c>
      <c r="D9" s="33"/>
      <c r="E9" s="17">
        <v>43.8</v>
      </c>
      <c r="F9" s="17">
        <v>139.7</v>
      </c>
      <c r="G9" s="15">
        <f>C9/C8-1</f>
        <v>-0.0640058563289729</v>
      </c>
      <c r="H9" s="15">
        <f>(E9+F9-C9)/C9</f>
        <v>-0.937602013057671</v>
      </c>
      <c r="I9" s="11">
        <f>AVERAGE(J6:J9)</f>
        <v>-1.50334934879401</v>
      </c>
      <c r="J9" s="11">
        <f>('Cashflow '!D9+'Cashflow '!F9-'Cashflow '!C9)/'Cashflow '!C9</f>
        <v>-2.94459649995853</v>
      </c>
    </row>
    <row r="10" ht="20.05" customHeight="1">
      <c r="B10" s="32"/>
      <c r="C10" s="16">
        <v>3349.4</v>
      </c>
      <c r="D10" s="33"/>
      <c r="E10" s="17">
        <v>51.6</v>
      </c>
      <c r="F10" s="17">
        <v>123.1</v>
      </c>
      <c r="G10" s="15">
        <f>C10/C9-1</f>
        <v>0.138941784548422</v>
      </c>
      <c r="H10" s="15">
        <f>(E10+F10-C10)/C10</f>
        <v>-0.947841404430644</v>
      </c>
      <c r="I10" s="11">
        <f>AVERAGE(J7:J10)</f>
        <v>-1.56427546494143</v>
      </c>
      <c r="J10" s="11">
        <f>('Cashflow '!D10+'Cashflow '!F10-'Cashflow '!C10)/'Cashflow '!C10</f>
        <v>-1.5768451992162</v>
      </c>
    </row>
    <row r="11" ht="20.05" customHeight="1">
      <c r="B11" s="32"/>
      <c r="C11" s="16">
        <v>6223.4</v>
      </c>
      <c r="D11" s="33"/>
      <c r="E11" s="17">
        <v>51.3</v>
      </c>
      <c r="F11" s="17">
        <v>308.8</v>
      </c>
      <c r="G11" s="15">
        <f>C11/C10-1</f>
        <v>0.858064130889114</v>
      </c>
      <c r="H11" s="15">
        <f>(E11+F11-C11)/C11</f>
        <v>-0.9421377382138379</v>
      </c>
      <c r="I11" s="11">
        <f>AVERAGE(J8:J11)</f>
        <v>-1.44519053288344</v>
      </c>
      <c r="J11" s="11">
        <f>('Cashflow '!D11+'Cashflow '!F11-'Cashflow '!C11)/'Cashflow '!C11</f>
        <v>-0.6177817791256</v>
      </c>
    </row>
    <row r="12" ht="20.05" customHeight="1">
      <c r="B12" s="34">
        <v>2019</v>
      </c>
      <c r="C12" s="16">
        <v>2328</v>
      </c>
      <c r="D12" s="33"/>
      <c r="E12" s="17">
        <v>47.4</v>
      </c>
      <c r="F12" s="17">
        <v>75.59999999999999</v>
      </c>
      <c r="G12" s="15">
        <f>C12/C11-1</f>
        <v>-0.625927949352444</v>
      </c>
      <c r="H12" s="15">
        <f>(E12+F12-C12)/C12</f>
        <v>-0.947164948453608</v>
      </c>
      <c r="I12" s="11">
        <f>AVERAGE(J9:J12)</f>
        <v>-1.65904790779164</v>
      </c>
      <c r="J12" s="11">
        <f>('Cashflow '!D12+'Cashflow '!F12-'Cashflow '!C12)/'Cashflow '!C12</f>
        <v>-1.49696815286624</v>
      </c>
    </row>
    <row r="13" ht="20.05" customHeight="1">
      <c r="B13" s="32"/>
      <c r="C13" s="16">
        <v>3098.2</v>
      </c>
      <c r="D13" s="33"/>
      <c r="E13" s="17">
        <v>40.9</v>
      </c>
      <c r="F13" s="17">
        <v>139.6</v>
      </c>
      <c r="G13" s="15">
        <f>C13/C12-1</f>
        <v>0.330841924398625</v>
      </c>
      <c r="H13" s="15">
        <f>(E13+F13-C13)/C13</f>
        <v>-0.941740365373443</v>
      </c>
      <c r="I13" s="11">
        <f>AVERAGE(J10:J13)</f>
        <v>-1.26639174859959</v>
      </c>
      <c r="J13" s="11">
        <f>('Cashflow '!D13+'Cashflow '!F13-'Cashflow '!C13)/'Cashflow '!C13</f>
        <v>-1.37397186319032</v>
      </c>
    </row>
    <row r="14" ht="20.05" customHeight="1">
      <c r="B14" s="32"/>
      <c r="C14" s="16">
        <v>3515.4</v>
      </c>
      <c r="D14" s="33"/>
      <c r="E14" s="17">
        <v>41.9</v>
      </c>
      <c r="F14" s="17">
        <v>136.7</v>
      </c>
      <c r="G14" s="15">
        <f>C14/C13-1</f>
        <v>0.134658834161771</v>
      </c>
      <c r="H14" s="15">
        <f>(E14+F14-C14)/C14</f>
        <v>-0.949194970700347</v>
      </c>
      <c r="I14" s="11">
        <f>AVERAGE(J11:J14)</f>
        <v>-1.23807178079627</v>
      </c>
      <c r="J14" s="11">
        <f>('Cashflow '!D14+'Cashflow '!F14-'Cashflow '!C14)/'Cashflow '!C14</f>
        <v>-1.46356532800291</v>
      </c>
    </row>
    <row r="15" ht="20.05" customHeight="1">
      <c r="B15" s="32"/>
      <c r="C15" s="16">
        <v>6366.3</v>
      </c>
      <c r="D15" s="33"/>
      <c r="E15" s="17">
        <v>46.3</v>
      </c>
      <c r="F15" s="17">
        <v>313.1</v>
      </c>
      <c r="G15" s="15">
        <f>C15/C14-1</f>
        <v>0.810974569039085</v>
      </c>
      <c r="H15" s="15">
        <f>(E15+F15-C15)/C15</f>
        <v>-0.943546486970454</v>
      </c>
      <c r="I15" s="11">
        <f>AVERAGE(J12:J15)</f>
        <v>-1.21632440254699</v>
      </c>
      <c r="J15" s="11">
        <f>('Cashflow '!D15+'Cashflow '!F15-'Cashflow '!C15)/'Cashflow '!C15</f>
        <v>-0.5307922661285071</v>
      </c>
    </row>
    <row r="16" ht="20.05" customHeight="1">
      <c r="B16" s="34">
        <v>2020</v>
      </c>
      <c r="C16" s="16">
        <v>3066.3</v>
      </c>
      <c r="D16" s="33"/>
      <c r="E16" s="17">
        <v>44</v>
      </c>
      <c r="F16" s="17">
        <v>9.199999999999999</v>
      </c>
      <c r="G16" s="15">
        <f>C16/C15-1</f>
        <v>-0.518354460204514</v>
      </c>
      <c r="H16" s="15">
        <f>(E16+F16-C16)/C16</f>
        <v>-0.982650099468415</v>
      </c>
      <c r="I16" s="11">
        <f>AVERAGE(J13:J16)</f>
        <v>-1.24483168484057</v>
      </c>
      <c r="J16" s="11">
        <f>('Cashflow '!D16+'Cashflow '!F16-'Cashflow '!C16)/'Cashflow '!C16</f>
        <v>-1.61099728204056</v>
      </c>
    </row>
    <row r="17" ht="20.05" customHeight="1">
      <c r="B17" s="32"/>
      <c r="C17" s="16">
        <v>2460.8</v>
      </c>
      <c r="D17" s="33"/>
      <c r="E17" s="17">
        <v>53.8</v>
      </c>
      <c r="F17" s="17">
        <v>2.1</v>
      </c>
      <c r="G17" s="15">
        <f>C17/C16-1</f>
        <v>-0.197469262629227</v>
      </c>
      <c r="H17" s="15">
        <f>(E17+F17-C17)/C17</f>
        <v>-0.977283810143043</v>
      </c>
      <c r="I17" s="11">
        <f>AVERAGE(J14:J17)</f>
        <v>-1.2624697875024</v>
      </c>
      <c r="J17" s="11">
        <f>('Cashflow '!D17+'Cashflow '!F17-'Cashflow '!C17)/'Cashflow '!C17</f>
        <v>-1.44452427383763</v>
      </c>
    </row>
    <row r="18" ht="20.05" customHeight="1">
      <c r="B18" s="32"/>
      <c r="C18" s="16">
        <v>2930.6</v>
      </c>
      <c r="D18" s="17"/>
      <c r="E18" s="17">
        <v>61.3</v>
      </c>
      <c r="F18" s="17">
        <v>4.3</v>
      </c>
      <c r="G18" s="15">
        <f>C18/C17-1</f>
        <v>0.190913524057217</v>
      </c>
      <c r="H18" s="15">
        <f>(E18+F18-C18)/C18</f>
        <v>-0.977615505357265</v>
      </c>
      <c r="I18" s="11">
        <f>AVERAGE(J15:J18)</f>
        <v>-1.04221110453444</v>
      </c>
      <c r="J18" s="11">
        <f>('Cashflow '!D18+'Cashflow '!F18-'Cashflow '!C18)/'Cashflow '!C18</f>
        <v>-0.5825305961310701</v>
      </c>
    </row>
    <row r="19" ht="20.05" customHeight="1">
      <c r="B19" s="32"/>
      <c r="C19" s="16">
        <v>2370</v>
      </c>
      <c r="D19" s="17"/>
      <c r="E19" s="17">
        <v>50.5</v>
      </c>
      <c r="F19" s="17">
        <v>8.1</v>
      </c>
      <c r="G19" s="15">
        <f>C19/C18-1</f>
        <v>-0.191291885620692</v>
      </c>
      <c r="H19" s="15">
        <f>(E19+F19-C19)/C19</f>
        <v>-0.975274261603376</v>
      </c>
      <c r="I19" s="11">
        <f>AVERAGE(J16:J19)</f>
        <v>-1.14289636607304</v>
      </c>
      <c r="J19" s="11">
        <f>('Cashflow '!D19+'Cashflow '!F19-'Cashflow '!C19)/'Cashflow '!C19</f>
        <v>-0.933533312282918</v>
      </c>
    </row>
    <row r="20" ht="20.05" customHeight="1">
      <c r="B20" s="34">
        <v>2021</v>
      </c>
      <c r="C20" s="16">
        <v>2118.2</v>
      </c>
      <c r="D20" s="17"/>
      <c r="E20" s="17">
        <v>47.3</v>
      </c>
      <c r="F20" s="17">
        <v>5.8</v>
      </c>
      <c r="G20" s="15">
        <f>C20/C19-1</f>
        <v>-0.106244725738397</v>
      </c>
      <c r="H20" s="15">
        <f>(E20+F20-C20)/C20</f>
        <v>-0.974931545651969</v>
      </c>
      <c r="I20" s="11">
        <f>AVERAGE(J17:J20)</f>
        <v>-1.16971074393665</v>
      </c>
      <c r="J20" s="11">
        <f>('Cashflow '!D20+'Cashflow '!F20-'Cashflow '!C20)/'Cashflow '!C20</f>
        <v>-1.71825479349499</v>
      </c>
    </row>
    <row r="21" ht="20.05" customHeight="1">
      <c r="B21" s="32"/>
      <c r="C21" s="16">
        <f>4444.7-C20</f>
        <v>2326.5</v>
      </c>
      <c r="D21" s="17"/>
      <c r="E21" s="17">
        <f>8+86.1-E20</f>
        <v>46.8</v>
      </c>
      <c r="F21" s="17">
        <f>8.1-F20</f>
        <v>2.3</v>
      </c>
      <c r="G21" s="15">
        <f>C21/C20-1</f>
        <v>0.0983382116891701</v>
      </c>
      <c r="H21" s="15">
        <f>(E21+F21-C21)/C21</f>
        <v>-0.978895336342145</v>
      </c>
      <c r="I21" s="11">
        <f>AVERAGE(J18:J21)</f>
        <v>-1.18261425617384</v>
      </c>
      <c r="J21" s="11">
        <f>('Cashflow '!D21+'Cashflow '!F21-'Cashflow '!C21)/'Cashflow '!C21</f>
        <v>-1.49613832278639</v>
      </c>
    </row>
    <row r="22" ht="20.05" customHeight="1">
      <c r="B22" s="32"/>
      <c r="C22" s="16">
        <f>7350.8-SUM(C20:C21)</f>
        <v>2906.1</v>
      </c>
      <c r="D22" s="13">
        <v>2186.91</v>
      </c>
      <c r="E22" s="17">
        <f>127+15.3-SUM(E20:E21)</f>
        <v>48.2</v>
      </c>
      <c r="F22" s="17">
        <f>23-SUM(F20:F21)</f>
        <v>14.9</v>
      </c>
      <c r="G22" s="15">
        <f>C22/C21-1</f>
        <v>0.249129593810445</v>
      </c>
      <c r="H22" s="15">
        <f>(E22+F22-C22)/C22</f>
        <v>-0.978287051374695</v>
      </c>
      <c r="I22" s="11">
        <f>AVERAGE(J21:J22)</f>
        <v>-1.18714006603867</v>
      </c>
      <c r="J22" s="11">
        <f>('Cashflow '!D22+'Cashflow '!F22-'Cashflow '!C22)/'Cashflow '!C22</f>
        <v>-0.878141809290954</v>
      </c>
    </row>
    <row r="23" ht="20.05" customHeight="1">
      <c r="B23" s="32"/>
      <c r="C23" s="16"/>
      <c r="D23" s="13">
        <f>'Model'!C6</f>
        <v>3923.235</v>
      </c>
      <c r="E23" s="17"/>
      <c r="F23" s="17"/>
      <c r="G23" s="15"/>
      <c r="H23" s="11">
        <f>'Model'!C7</f>
        <v>-0.974931545651969</v>
      </c>
      <c r="I23" s="11"/>
      <c r="J23" s="11"/>
    </row>
    <row r="24" ht="20.05" customHeight="1">
      <c r="B24" s="34">
        <v>2022</v>
      </c>
      <c r="C24" s="16"/>
      <c r="D24" s="17">
        <f>'Model'!D6</f>
        <v>3491.67915</v>
      </c>
      <c r="E24" s="17"/>
      <c r="F24" s="17"/>
      <c r="G24" s="15"/>
      <c r="H24" s="11"/>
      <c r="I24" s="11"/>
      <c r="J24" s="11"/>
    </row>
    <row r="25" ht="20.05" customHeight="1">
      <c r="B25" s="32"/>
      <c r="C25" s="16"/>
      <c r="D25" s="17">
        <f>'Model'!E6</f>
        <v>3840.847065</v>
      </c>
      <c r="E25" s="17"/>
      <c r="F25" s="17"/>
      <c r="G25" s="15"/>
      <c r="H25" s="11"/>
      <c r="I25" s="11"/>
      <c r="J25" s="11"/>
    </row>
    <row r="26" ht="20.05" customHeight="1">
      <c r="B26" s="32"/>
      <c r="C26" s="16"/>
      <c r="D26" s="17">
        <f>'Model'!F6</f>
        <v>4416.97412475</v>
      </c>
      <c r="E26" s="17"/>
      <c r="F26" s="17"/>
      <c r="G26" s="15"/>
      <c r="H26" s="11"/>
      <c r="I26" s="11"/>
      <c r="J26" s="11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L2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64844" style="35" customWidth="1"/>
    <col min="2" max="2" width="7.54688" style="35" customWidth="1"/>
    <col min="3" max="12" width="9.5" style="35" customWidth="1"/>
    <col min="13" max="16384" width="16.3516" style="35" customWidth="1"/>
  </cols>
  <sheetData>
    <row r="1" ht="36.4" customHeight="1"/>
    <row r="2" ht="27.65" customHeight="1">
      <c r="B2" t="s" s="2">
        <v>33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32.25" customHeight="1">
      <c r="B3" t="s" s="26">
        <v>1</v>
      </c>
      <c r="C3" t="s" s="26">
        <v>46</v>
      </c>
      <c r="D3" t="s" s="26">
        <v>47</v>
      </c>
      <c r="E3" t="s" s="26">
        <v>48</v>
      </c>
      <c r="F3" t="s" s="26">
        <v>49</v>
      </c>
      <c r="G3" t="s" s="26">
        <v>11</v>
      </c>
      <c r="H3" t="s" s="26">
        <v>25</v>
      </c>
      <c r="I3" t="s" s="26">
        <v>10</v>
      </c>
      <c r="J3" t="s" s="26">
        <v>50</v>
      </c>
      <c r="K3" t="s" s="26">
        <v>51</v>
      </c>
      <c r="L3" t="s" s="26">
        <v>29</v>
      </c>
    </row>
    <row r="4" ht="20.25" customHeight="1">
      <c r="B4" s="27">
        <v>2017</v>
      </c>
      <c r="C4" s="28">
        <v>1828.3</v>
      </c>
      <c r="D4" s="30">
        <v>-997</v>
      </c>
      <c r="E4" s="30">
        <v>-7.9</v>
      </c>
      <c r="F4" s="30">
        <v>0</v>
      </c>
      <c r="G4" s="30"/>
      <c r="H4" s="30"/>
      <c r="I4" s="30">
        <v>-114.1</v>
      </c>
      <c r="J4" s="30">
        <f>D4+E4+F4</f>
        <v>-1004.9</v>
      </c>
      <c r="K4" s="36"/>
      <c r="L4" s="30">
        <f>-(I4-F4)</f>
        <v>114.1</v>
      </c>
    </row>
    <row r="5" ht="20.05" customHeight="1">
      <c r="B5" s="32"/>
      <c r="C5" s="16">
        <v>2271</v>
      </c>
      <c r="D5" s="17">
        <v>-1215.9</v>
      </c>
      <c r="E5" s="17">
        <v>-16.1</v>
      </c>
      <c r="F5" s="17">
        <v>0</v>
      </c>
      <c r="G5" s="17"/>
      <c r="H5" s="17"/>
      <c r="I5" s="17">
        <v>3326.6</v>
      </c>
      <c r="J5" s="17">
        <f>D5+E5+F5</f>
        <v>-1232</v>
      </c>
      <c r="K5" s="20"/>
      <c r="L5" s="17">
        <f>-(I5-F5)+L4</f>
        <v>-3212.5</v>
      </c>
    </row>
    <row r="6" ht="20.05" customHeight="1">
      <c r="B6" s="32"/>
      <c r="C6" s="16">
        <v>2423</v>
      </c>
      <c r="D6" s="17">
        <v>-807.2</v>
      </c>
      <c r="E6" s="17">
        <v>-5</v>
      </c>
      <c r="F6" s="17">
        <v>0</v>
      </c>
      <c r="G6" s="17"/>
      <c r="H6" s="17"/>
      <c r="I6" s="17">
        <v>272.9</v>
      </c>
      <c r="J6" s="17">
        <f>D6+E6+F6</f>
        <v>-812.2</v>
      </c>
      <c r="K6" s="20"/>
      <c r="L6" s="17">
        <f>-(I6-F6)+L5</f>
        <v>-3485.4</v>
      </c>
    </row>
    <row r="7" ht="20.05" customHeight="1">
      <c r="B7" s="32"/>
      <c r="C7" s="16">
        <v>3961.9</v>
      </c>
      <c r="D7" s="17">
        <v>-188.3</v>
      </c>
      <c r="E7" s="17">
        <v>-75.59999999999999</v>
      </c>
      <c r="F7" s="17">
        <v>-184.6</v>
      </c>
      <c r="G7" s="17"/>
      <c r="H7" s="17"/>
      <c r="I7" s="17">
        <v>593.8</v>
      </c>
      <c r="J7" s="17">
        <f>D7+E7+F7</f>
        <v>-448.5</v>
      </c>
      <c r="K7" s="20"/>
      <c r="L7" s="17">
        <f>-(I7-F7)+L6</f>
        <v>-4263.8</v>
      </c>
    </row>
    <row r="8" ht="20.05" customHeight="1">
      <c r="B8" s="34">
        <v>2018</v>
      </c>
      <c r="C8" s="16">
        <v>5617.9</v>
      </c>
      <c r="D8" s="17">
        <v>2013.8</v>
      </c>
      <c r="E8" s="17">
        <v>-60.2</v>
      </c>
      <c r="F8" s="17">
        <v>0</v>
      </c>
      <c r="G8" s="17"/>
      <c r="H8" s="17"/>
      <c r="I8" s="17">
        <v>-1780.9</v>
      </c>
      <c r="J8" s="17">
        <f>D8+E8+F8</f>
        <v>1953.6</v>
      </c>
      <c r="K8" s="17">
        <f>AVERAGE(J5:J8)</f>
        <v>-134.775</v>
      </c>
      <c r="L8" s="17">
        <f>-(I8-F8)+L7</f>
        <v>-2482.9</v>
      </c>
    </row>
    <row r="9" ht="20.05" customHeight="1">
      <c r="B9" s="32"/>
      <c r="C9" s="16">
        <v>1205.7</v>
      </c>
      <c r="D9" s="17">
        <v>-2344.6</v>
      </c>
      <c r="E9" s="17">
        <v>-76.3</v>
      </c>
      <c r="F9" s="17">
        <v>0</v>
      </c>
      <c r="G9" s="17"/>
      <c r="H9" s="17"/>
      <c r="I9" s="17">
        <v>-276.1</v>
      </c>
      <c r="J9" s="17">
        <f>D9+E9+F9</f>
        <v>-2420.9</v>
      </c>
      <c r="K9" s="17">
        <f>AVERAGE(J6:J9)</f>
        <v>-432</v>
      </c>
      <c r="L9" s="17">
        <f>-(I9-F9)+L8</f>
        <v>-2206.8</v>
      </c>
    </row>
    <row r="10" ht="20.05" customHeight="1">
      <c r="B10" s="32"/>
      <c r="C10" s="16">
        <v>3062</v>
      </c>
      <c r="D10" s="17">
        <v>-1766.3</v>
      </c>
      <c r="E10" s="17">
        <v>-27.4</v>
      </c>
      <c r="F10" s="17">
        <v>0</v>
      </c>
      <c r="G10" s="17"/>
      <c r="H10" s="17"/>
      <c r="I10" s="17">
        <v>1690.3</v>
      </c>
      <c r="J10" s="17">
        <f>D10+E10+F10</f>
        <v>-1793.7</v>
      </c>
      <c r="K10" s="17">
        <f>AVERAGE(J7:J10)</f>
        <v>-677.375</v>
      </c>
      <c r="L10" s="17">
        <f>-(I10-F10)+L9</f>
        <v>-3897.1</v>
      </c>
    </row>
    <row r="11" ht="20.05" customHeight="1">
      <c r="B11" s="32"/>
      <c r="C11" s="16">
        <v>6331.2</v>
      </c>
      <c r="D11" s="17">
        <v>2950.7</v>
      </c>
      <c r="E11" s="17">
        <v>-1023.1</v>
      </c>
      <c r="F11" s="17">
        <v>-530.8</v>
      </c>
      <c r="G11" s="17"/>
      <c r="H11" s="17"/>
      <c r="I11" s="17">
        <v>-168</v>
      </c>
      <c r="J11" s="17">
        <f>D11+E11+F11</f>
        <v>1396.8</v>
      </c>
      <c r="K11" s="17">
        <f>AVERAGE(J8:J11)</f>
        <v>-216.05</v>
      </c>
      <c r="L11" s="17">
        <f>-(I11-F11)+L10</f>
        <v>-4259.9</v>
      </c>
    </row>
    <row r="12" ht="20.05" customHeight="1">
      <c r="B12" s="34">
        <v>2019</v>
      </c>
      <c r="C12" s="16">
        <v>1962.5</v>
      </c>
      <c r="D12" s="17">
        <v>-821.2</v>
      </c>
      <c r="E12" s="17">
        <v>-156.3</v>
      </c>
      <c r="F12" s="17">
        <v>-154.1</v>
      </c>
      <c r="G12" s="17"/>
      <c r="H12" s="17"/>
      <c r="I12" s="17">
        <v>-287.4</v>
      </c>
      <c r="J12" s="17">
        <f>D12+E12+F12</f>
        <v>-1131.6</v>
      </c>
      <c r="K12" s="17">
        <f>AVERAGE(J9:J12)</f>
        <v>-987.35</v>
      </c>
      <c r="L12" s="17">
        <f>-(I12-F12)+L11</f>
        <v>-4126.6</v>
      </c>
    </row>
    <row r="13" ht="20.05" customHeight="1">
      <c r="B13" s="32"/>
      <c r="C13" s="16">
        <v>3148.9</v>
      </c>
      <c r="D13" s="17">
        <v>-997.6</v>
      </c>
      <c r="E13" s="17">
        <v>-637.2</v>
      </c>
      <c r="F13" s="17">
        <v>-180</v>
      </c>
      <c r="G13" s="17"/>
      <c r="H13" s="17"/>
      <c r="I13" s="17">
        <v>1870.9</v>
      </c>
      <c r="J13" s="17">
        <f>D13+E13+F13</f>
        <v>-1814.8</v>
      </c>
      <c r="K13" s="17">
        <f>AVERAGE(J10:J13)</f>
        <v>-835.825</v>
      </c>
      <c r="L13" s="17">
        <f>-(I13-F13)+L12</f>
        <v>-6177.5</v>
      </c>
    </row>
    <row r="14" ht="20.05" customHeight="1">
      <c r="B14" s="32"/>
      <c r="C14" s="16">
        <v>2201.2</v>
      </c>
      <c r="D14" s="17">
        <v>-807.8</v>
      </c>
      <c r="E14" s="17">
        <v>-261.5</v>
      </c>
      <c r="F14" s="17">
        <v>-212.6</v>
      </c>
      <c r="G14" s="17"/>
      <c r="H14" s="17"/>
      <c r="I14" s="17">
        <v>293.7</v>
      </c>
      <c r="J14" s="17">
        <f>D14+E14+F14</f>
        <v>-1281.9</v>
      </c>
      <c r="K14" s="17">
        <f>AVERAGE(J11:J14)</f>
        <v>-707.875</v>
      </c>
      <c r="L14" s="17">
        <f>-(I14-F14)+L13</f>
        <v>-6683.8</v>
      </c>
    </row>
    <row r="15" ht="20.05" customHeight="1">
      <c r="B15" s="32"/>
      <c r="C15" s="16">
        <v>6144.4</v>
      </c>
      <c r="D15" s="17">
        <v>3165.8</v>
      </c>
      <c r="E15" s="17">
        <v>-502.9</v>
      </c>
      <c r="F15" s="17">
        <v>-282.8</v>
      </c>
      <c r="G15" s="17"/>
      <c r="H15" s="17"/>
      <c r="I15" s="17">
        <v>-866.5</v>
      </c>
      <c r="J15" s="17">
        <f>D15+E15+F15</f>
        <v>2380.1</v>
      </c>
      <c r="K15" s="17">
        <f>AVERAGE(J12:J15)</f>
        <v>-462.05</v>
      </c>
      <c r="L15" s="17">
        <f>-(I15-F15)+L14</f>
        <v>-6100.1</v>
      </c>
    </row>
    <row r="16" ht="20.05" customHeight="1">
      <c r="B16" s="34">
        <v>2020</v>
      </c>
      <c r="C16" s="16">
        <v>2391.5</v>
      </c>
      <c r="D16" s="17">
        <v>-1254.5</v>
      </c>
      <c r="E16" s="17">
        <v>-57</v>
      </c>
      <c r="F16" s="17">
        <v>-206.7</v>
      </c>
      <c r="G16" s="17"/>
      <c r="H16" s="17"/>
      <c r="I16" s="17">
        <v>-774.4</v>
      </c>
      <c r="J16" s="17">
        <f>D16+E16+F16</f>
        <v>-1518.2</v>
      </c>
      <c r="K16" s="17">
        <f>AVERAGE(J13:J16)</f>
        <v>-558.7</v>
      </c>
      <c r="L16" s="17">
        <f>-(I16-F16)+L15</f>
        <v>-5532.4</v>
      </c>
    </row>
    <row r="17" ht="20.05" customHeight="1">
      <c r="B17" s="32"/>
      <c r="C17" s="16">
        <v>974.3</v>
      </c>
      <c r="D17" s="17">
        <v>-246.7</v>
      </c>
      <c r="E17" s="17">
        <v>-253.8</v>
      </c>
      <c r="F17" s="17">
        <v>-186.4</v>
      </c>
      <c r="G17" s="17"/>
      <c r="H17" s="17"/>
      <c r="I17" s="17">
        <v>217</v>
      </c>
      <c r="J17" s="17">
        <f>D17+E17+F17</f>
        <v>-686.9</v>
      </c>
      <c r="K17" s="17">
        <f>AVERAGE(J14:J17)</f>
        <v>-276.725</v>
      </c>
      <c r="L17" s="17">
        <f>-(I17-F17)+L16</f>
        <v>-5935.8</v>
      </c>
    </row>
    <row r="18" ht="20.05" customHeight="1">
      <c r="B18" s="32"/>
      <c r="C18" s="16">
        <v>5066</v>
      </c>
      <c r="D18" s="17">
        <v>2356.8</v>
      </c>
      <c r="E18" s="17">
        <v>-80.40000000000001</v>
      </c>
      <c r="F18" s="17">
        <v>-241.9</v>
      </c>
      <c r="G18" s="17"/>
      <c r="H18" s="17"/>
      <c r="I18" s="17">
        <v>-1116</v>
      </c>
      <c r="J18" s="17">
        <f>D18+E18+F18</f>
        <v>2034.5</v>
      </c>
      <c r="K18" s="17">
        <f>AVERAGE(J15:J18)</f>
        <v>552.375</v>
      </c>
      <c r="L18" s="17">
        <f>-(I18-F18)+L17</f>
        <v>-5061.7</v>
      </c>
    </row>
    <row r="19" ht="20.05" customHeight="1">
      <c r="B19" s="32"/>
      <c r="C19" s="16">
        <v>4433.8</v>
      </c>
      <c r="D19" s="17">
        <v>522.5</v>
      </c>
      <c r="E19" s="17">
        <v>-127.3</v>
      </c>
      <c r="F19" s="17">
        <v>-227.8</v>
      </c>
      <c r="G19" s="17"/>
      <c r="H19" s="17"/>
      <c r="I19" s="17">
        <v>-77.5</v>
      </c>
      <c r="J19" s="17">
        <f>D19+E19+F19</f>
        <v>167.4</v>
      </c>
      <c r="K19" s="17">
        <f>AVERAGE(J16:J19)</f>
        <v>-0.8</v>
      </c>
      <c r="L19" s="17">
        <f>-(I19-F19)+L18</f>
        <v>-5212</v>
      </c>
    </row>
    <row r="20" ht="20.05" customHeight="1">
      <c r="B20" s="34">
        <v>2021</v>
      </c>
      <c r="C20" s="16">
        <v>2404.3</v>
      </c>
      <c r="D20" s="17">
        <v>-1504.1</v>
      </c>
      <c r="E20" s="17">
        <v>-14.6</v>
      </c>
      <c r="F20" s="17">
        <v>-222.8</v>
      </c>
      <c r="G20" s="20">
        <f>1561.542-1397.393</f>
        <v>164.149</v>
      </c>
      <c r="H20" s="17"/>
      <c r="I20" s="17">
        <v>-58.6</v>
      </c>
      <c r="J20" s="17">
        <f>D20+E20+F20</f>
        <v>-1741.5</v>
      </c>
      <c r="K20" s="17">
        <f>AVERAGE(J17:J20)</f>
        <v>-56.625</v>
      </c>
      <c r="L20" s="17">
        <f>-(G20+H20)+L19</f>
        <v>-5376.149</v>
      </c>
    </row>
    <row r="21" ht="20.05" customHeight="1">
      <c r="B21" s="32"/>
      <c r="C21" s="16">
        <f>4411.2-C20</f>
        <v>2006.9</v>
      </c>
      <c r="D21" s="17">
        <f>-2279.3-D20</f>
        <v>-775.2</v>
      </c>
      <c r="E21" s="17">
        <f>-156.2-E20</f>
        <v>-141.6</v>
      </c>
      <c r="F21" s="17">
        <f>-443.3-F20</f>
        <v>-220.5</v>
      </c>
      <c r="G21" s="17">
        <f>2666.797-1480.714-G20</f>
        <v>1021.934</v>
      </c>
      <c r="H21" s="17"/>
      <c r="I21" s="17">
        <f>742.8-I20</f>
        <v>801.4</v>
      </c>
      <c r="J21" s="17">
        <f>D21+E21+F21</f>
        <v>-1137.3</v>
      </c>
      <c r="K21" s="17">
        <f>AVERAGE(J18:J21)</f>
        <v>-169.225</v>
      </c>
      <c r="L21" s="17">
        <f>-(G21+H21)+L20</f>
        <v>-6398.083</v>
      </c>
    </row>
    <row r="22" ht="20.05" customHeight="1">
      <c r="B22" s="32"/>
      <c r="C22" s="16">
        <f>8501.2-SUM(C20:C21)</f>
        <v>4090</v>
      </c>
      <c r="D22" s="17">
        <f>-1533-SUM(D20:D21)</f>
        <v>746.3</v>
      </c>
      <c r="E22" s="17">
        <f>-119.3-SUM(E20:E21)</f>
        <v>36.9</v>
      </c>
      <c r="F22" s="17">
        <f>-691.2-SUM(F20:F21)</f>
        <v>-247.9</v>
      </c>
      <c r="G22" s="17">
        <f>4217.208-2612.086-G21-G20</f>
        <v>419.039</v>
      </c>
      <c r="H22" s="17"/>
      <c r="I22" s="17">
        <f>913.882-SUM(I20:I21)</f>
        <v>171.082</v>
      </c>
      <c r="J22" s="17">
        <f>D22+E22+F22</f>
        <v>535.3</v>
      </c>
      <c r="K22" s="17">
        <f>AVERAGE(J19:J22)</f>
        <v>-544.025</v>
      </c>
      <c r="L22" s="17">
        <f>-(G22+H22)+L21</f>
        <v>-6817.122</v>
      </c>
    </row>
    <row r="23" ht="20.05" customHeight="1">
      <c r="B23" s="32"/>
      <c r="C23" s="37"/>
      <c r="D23" s="17"/>
      <c r="E23" s="21"/>
      <c r="F23" s="17"/>
      <c r="G23" s="17"/>
      <c r="H23" s="17"/>
      <c r="I23" s="17"/>
      <c r="J23" s="17"/>
      <c r="K23" s="17">
        <f>SUM('Model'!F9:F10)</f>
        <v>96.126714202730</v>
      </c>
      <c r="L23" s="17">
        <f>'Model'!F32</f>
        <v>-6482.630749626710</v>
      </c>
    </row>
  </sheetData>
  <mergeCells count="1">
    <mergeCell ref="B2:L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1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0.5547" style="38" customWidth="1"/>
    <col min="2" max="2" width="8.58594" style="38" customWidth="1"/>
    <col min="3" max="11" width="9.39062" style="38" customWidth="1"/>
    <col min="12" max="16384" width="16.3516" style="38" customWidth="1"/>
  </cols>
  <sheetData>
    <row r="1" ht="11.8" customHeight="1"/>
    <row r="2" ht="27.65" customHeight="1">
      <c r="B2" t="s" s="2">
        <v>52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26">
        <v>1</v>
      </c>
      <c r="C3" t="s" s="26">
        <v>53</v>
      </c>
      <c r="D3" t="s" s="26">
        <v>54</v>
      </c>
      <c r="E3" t="s" s="26">
        <v>22</v>
      </c>
      <c r="F3" t="s" s="26">
        <v>23</v>
      </c>
      <c r="G3" t="s" s="26">
        <v>55</v>
      </c>
      <c r="H3" t="s" s="26">
        <v>25</v>
      </c>
      <c r="I3" t="s" s="26">
        <v>26</v>
      </c>
      <c r="J3" t="s" s="26">
        <v>27</v>
      </c>
      <c r="K3" t="s" s="26">
        <v>35</v>
      </c>
    </row>
    <row r="4" ht="20.25" customHeight="1">
      <c r="B4" s="27">
        <v>2018</v>
      </c>
      <c r="C4" s="28">
        <v>4304</v>
      </c>
      <c r="D4" s="30">
        <v>27254</v>
      </c>
      <c r="E4" s="30">
        <f>D4-C4</f>
        <v>22950</v>
      </c>
      <c r="F4" s="36">
        <f>40+362</f>
        <v>402</v>
      </c>
      <c r="G4" s="30">
        <v>21311</v>
      </c>
      <c r="H4" s="30">
        <v>5943</v>
      </c>
      <c r="I4" s="30">
        <f>G4+H4-C4-E4</f>
        <v>0</v>
      </c>
      <c r="J4" s="30">
        <f>C4-G4</f>
        <v>-17007</v>
      </c>
      <c r="K4" s="39"/>
    </row>
    <row r="5" ht="20.05" customHeight="1">
      <c r="B5" s="32"/>
      <c r="C5" s="16">
        <v>1607</v>
      </c>
      <c r="D5" s="17">
        <v>26504</v>
      </c>
      <c r="E5" s="17">
        <f>D5-C5</f>
        <v>24897</v>
      </c>
      <c r="F5" s="20">
        <f>406+42</f>
        <v>448</v>
      </c>
      <c r="G5" s="17">
        <v>20555</v>
      </c>
      <c r="H5" s="17">
        <v>5949</v>
      </c>
      <c r="I5" s="17">
        <f>G5+H5-C5-E5</f>
        <v>0</v>
      </c>
      <c r="J5" s="17">
        <f>C5-G5</f>
        <v>-18948</v>
      </c>
      <c r="K5" s="23"/>
    </row>
    <row r="6" ht="20.05" customHeight="1">
      <c r="B6" s="32"/>
      <c r="C6" s="16">
        <v>1503</v>
      </c>
      <c r="D6" s="17">
        <v>28340</v>
      </c>
      <c r="E6" s="17">
        <f>D6-C6</f>
        <v>26837</v>
      </c>
      <c r="F6" s="20">
        <f>45+455</f>
        <v>500</v>
      </c>
      <c r="G6" s="17">
        <v>22237</v>
      </c>
      <c r="H6" s="17">
        <v>6103</v>
      </c>
      <c r="I6" s="17">
        <f>G6+H6-C6-E6</f>
        <v>0</v>
      </c>
      <c r="J6" s="17">
        <f>C6-G6</f>
        <v>-20734</v>
      </c>
      <c r="K6" s="23"/>
    </row>
    <row r="7" ht="20.05" customHeight="1">
      <c r="B7" s="32"/>
      <c r="C7" s="16">
        <v>3263</v>
      </c>
      <c r="D7" s="17">
        <v>30092</v>
      </c>
      <c r="E7" s="17">
        <f>D7-C7</f>
        <v>26829</v>
      </c>
      <c r="F7" s="20">
        <v>504</v>
      </c>
      <c r="G7" s="17">
        <v>23807</v>
      </c>
      <c r="H7" s="17">
        <v>6285</v>
      </c>
      <c r="I7" s="17">
        <f>G7+H7-C7-E7</f>
        <v>0</v>
      </c>
      <c r="J7" s="17">
        <f>C7-G7</f>
        <v>-20544</v>
      </c>
      <c r="K7" s="23"/>
    </row>
    <row r="8" ht="20.05" customHeight="1">
      <c r="B8" s="34">
        <v>2019</v>
      </c>
      <c r="C8" s="16">
        <v>1998</v>
      </c>
      <c r="D8" s="17">
        <v>29826</v>
      </c>
      <c r="E8" s="17">
        <f>D8-C8</f>
        <v>27828</v>
      </c>
      <c r="F8" s="20">
        <v>547</v>
      </c>
      <c r="G8" s="17">
        <v>23465</v>
      </c>
      <c r="H8" s="17">
        <v>6361</v>
      </c>
      <c r="I8" s="17">
        <f>G8+H8-C8-E8</f>
        <v>0</v>
      </c>
      <c r="J8" s="17">
        <f>C8-G8</f>
        <v>-21467</v>
      </c>
      <c r="K8" s="23"/>
    </row>
    <row r="9" ht="20.05" customHeight="1">
      <c r="B9" s="32"/>
      <c r="C9" s="16">
        <v>2234</v>
      </c>
      <c r="D9" s="17">
        <v>31397</v>
      </c>
      <c r="E9" s="17">
        <f>D9-C9</f>
        <v>29163</v>
      </c>
      <c r="F9" s="20">
        <f>592</f>
        <v>592</v>
      </c>
      <c r="G9" s="17">
        <v>25013</v>
      </c>
      <c r="H9" s="17">
        <v>6384</v>
      </c>
      <c r="I9" s="17">
        <f>G9+H9-C9-E9</f>
        <v>0</v>
      </c>
      <c r="J9" s="17">
        <f>C9-G9</f>
        <v>-22779</v>
      </c>
      <c r="K9" s="23"/>
    </row>
    <row r="10" ht="20.05" customHeight="1">
      <c r="B10" s="32"/>
      <c r="C10" s="16">
        <v>1459</v>
      </c>
      <c r="D10" s="17">
        <v>32669</v>
      </c>
      <c r="E10" s="17">
        <f>D10-C10</f>
        <v>31210</v>
      </c>
      <c r="F10" s="17">
        <v>610</v>
      </c>
      <c r="G10" s="17">
        <v>26149</v>
      </c>
      <c r="H10" s="17">
        <v>6520</v>
      </c>
      <c r="I10" s="17">
        <f>G10+H10-C10-E10</f>
        <v>0</v>
      </c>
      <c r="J10" s="17">
        <f>C10-G10</f>
        <v>-24690</v>
      </c>
      <c r="K10" s="40"/>
    </row>
    <row r="11" ht="20.05" customHeight="1">
      <c r="B11" s="32"/>
      <c r="C11" s="16">
        <v>3255</v>
      </c>
      <c r="D11" s="17">
        <v>36516</v>
      </c>
      <c r="E11" s="17">
        <f>D11-C11</f>
        <v>33261</v>
      </c>
      <c r="F11" s="20">
        <v>650</v>
      </c>
      <c r="G11" s="17">
        <v>29682</v>
      </c>
      <c r="H11" s="17">
        <v>6834</v>
      </c>
      <c r="I11" s="17">
        <f>G11+H11-C11-E11</f>
        <v>0</v>
      </c>
      <c r="J11" s="17">
        <f>C11-G11</f>
        <v>-26427</v>
      </c>
      <c r="K11" s="40"/>
    </row>
    <row r="12" ht="20.05" customHeight="1">
      <c r="B12" s="34">
        <v>2020</v>
      </c>
      <c r="C12" s="16">
        <v>1175</v>
      </c>
      <c r="D12" s="17">
        <v>36578</v>
      </c>
      <c r="E12" s="17">
        <f>D12-C12</f>
        <v>35403</v>
      </c>
      <c r="F12" s="17">
        <f>694</f>
        <v>694</v>
      </c>
      <c r="G12" s="17">
        <v>30938</v>
      </c>
      <c r="H12" s="17">
        <v>5640</v>
      </c>
      <c r="I12" s="17">
        <f>G12+H12-C12-E12</f>
        <v>0</v>
      </c>
      <c r="J12" s="17">
        <f>C12-G12</f>
        <v>-29763</v>
      </c>
      <c r="K12" s="40"/>
    </row>
    <row r="13" ht="20.05" customHeight="1">
      <c r="B13" s="32"/>
      <c r="C13" s="16">
        <v>886</v>
      </c>
      <c r="D13" s="17">
        <v>37691</v>
      </c>
      <c r="E13" s="17">
        <f>D13-C13</f>
        <v>36805</v>
      </c>
      <c r="F13" s="17">
        <f>739+8</f>
        <v>747</v>
      </c>
      <c r="G13" s="17">
        <v>32066</v>
      </c>
      <c r="H13" s="17">
        <v>5625</v>
      </c>
      <c r="I13" s="17">
        <f>G13+H13-C13-E13</f>
        <v>0</v>
      </c>
      <c r="J13" s="17">
        <f>C13-G13</f>
        <v>-31180</v>
      </c>
      <c r="K13" s="40"/>
    </row>
    <row r="14" ht="20.05" customHeight="1">
      <c r="B14" s="32"/>
      <c r="C14" s="16">
        <v>2046</v>
      </c>
      <c r="D14" s="17">
        <v>37552</v>
      </c>
      <c r="E14" s="17">
        <f>D14-C14</f>
        <v>35506</v>
      </c>
      <c r="F14" s="17">
        <f>779+27</f>
        <v>806</v>
      </c>
      <c r="G14" s="17">
        <v>31965</v>
      </c>
      <c r="H14" s="17">
        <v>5587</v>
      </c>
      <c r="I14" s="17">
        <f>G14+H14-C14-E14</f>
        <v>0</v>
      </c>
      <c r="J14" s="17">
        <f>C14-G14</f>
        <v>-29919</v>
      </c>
      <c r="K14" s="40"/>
    </row>
    <row r="15" ht="20.05" customHeight="1">
      <c r="B15" s="32"/>
      <c r="C15" s="16">
        <v>2364</v>
      </c>
      <c r="D15" s="17">
        <v>38094</v>
      </c>
      <c r="E15" s="17">
        <f>D15-C15</f>
        <v>35730</v>
      </c>
      <c r="F15" s="17">
        <f>47+806</f>
        <v>853</v>
      </c>
      <c r="G15" s="17">
        <v>32519</v>
      </c>
      <c r="H15" s="17">
        <v>5575</v>
      </c>
      <c r="I15" s="17">
        <f>G15+H15-C15-E15</f>
        <v>0</v>
      </c>
      <c r="J15" s="17">
        <f>C15-G15</f>
        <v>-30155</v>
      </c>
      <c r="K15" s="40"/>
    </row>
    <row r="16" ht="20.05" customHeight="1">
      <c r="B16" s="34">
        <v>2021</v>
      </c>
      <c r="C16" s="16">
        <v>786</v>
      </c>
      <c r="D16" s="17">
        <v>37544</v>
      </c>
      <c r="E16" s="17">
        <f>D16-C16</f>
        <v>36758</v>
      </c>
      <c r="F16" s="17">
        <f>50+906</f>
        <v>956</v>
      </c>
      <c r="G16" s="17">
        <v>31963</v>
      </c>
      <c r="H16" s="17">
        <v>5581</v>
      </c>
      <c r="I16" s="17">
        <f>G16+H16-C16-E16</f>
        <v>0</v>
      </c>
      <c r="J16" s="17">
        <f>C16-G16</f>
        <v>-31177</v>
      </c>
      <c r="K16" s="40"/>
    </row>
    <row r="17" ht="20.05" customHeight="1">
      <c r="B17" s="32"/>
      <c r="C17" s="16">
        <v>671</v>
      </c>
      <c r="D17" s="17">
        <v>38931</v>
      </c>
      <c r="E17" s="17">
        <f>D17-C17</f>
        <v>38260</v>
      </c>
      <c r="F17" s="17">
        <f>55+949</f>
        <v>1004</v>
      </c>
      <c r="G17" s="17">
        <v>33348</v>
      </c>
      <c r="H17" s="17">
        <v>5583</v>
      </c>
      <c r="I17" s="17">
        <f>G17+H17-C17-E17</f>
        <v>0</v>
      </c>
      <c r="J17" s="17">
        <f>C17-G17</f>
        <v>-32677</v>
      </c>
      <c r="K17" s="17"/>
    </row>
    <row r="18" ht="20.05" customHeight="1">
      <c r="B18" s="32"/>
      <c r="C18" s="16">
        <v>1625</v>
      </c>
      <c r="D18" s="17">
        <v>40759</v>
      </c>
      <c r="E18" s="17">
        <f>D18-C18</f>
        <v>39134</v>
      </c>
      <c r="F18" s="17">
        <f>1009+61</f>
        <v>1070</v>
      </c>
      <c r="G18" s="17">
        <v>35161</v>
      </c>
      <c r="H18" s="17">
        <v>5598</v>
      </c>
      <c r="I18" s="17">
        <f>G18+H18-C18-E18</f>
        <v>0</v>
      </c>
      <c r="J18" s="17">
        <f>C18-G18</f>
        <v>-33536</v>
      </c>
      <c r="K18" s="17">
        <f>J18</f>
        <v>-33536</v>
      </c>
    </row>
    <row r="19" ht="20.05" customHeight="1">
      <c r="B19" s="32"/>
      <c r="C19" s="16"/>
      <c r="D19" s="17"/>
      <c r="E19" s="17"/>
      <c r="F19" s="17"/>
      <c r="G19" s="17"/>
      <c r="H19" s="17"/>
      <c r="I19" s="17"/>
      <c r="J19" s="17"/>
      <c r="K19" s="17">
        <f>'Model'!F30</f>
        <v>-33261.5361247387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2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3984" style="41" customWidth="1"/>
    <col min="2" max="2" width="11.0547" style="41" customWidth="1"/>
    <col min="3" max="4" width="9.13281" style="41" customWidth="1"/>
    <col min="5" max="16384" width="16.3516" style="41" customWidth="1"/>
  </cols>
  <sheetData>
    <row r="1" ht="11.5" customHeight="1"/>
    <row r="2" ht="27.65" customHeight="1">
      <c r="B2" t="s" s="2">
        <v>56</v>
      </c>
      <c r="C2" s="2"/>
      <c r="D2" s="2"/>
    </row>
    <row r="3" ht="20.25" customHeight="1">
      <c r="B3" s="4"/>
      <c r="C3" t="s" s="26">
        <v>57</v>
      </c>
      <c r="D3" t="s" s="26">
        <v>38</v>
      </c>
    </row>
    <row r="4" ht="20.25" customHeight="1">
      <c r="B4" s="27">
        <v>2018</v>
      </c>
      <c r="C4" s="28">
        <v>1929.355347</v>
      </c>
      <c r="D4" s="7"/>
    </row>
    <row r="5" ht="20.05" customHeight="1">
      <c r="B5" s="32"/>
      <c r="C5" s="16">
        <v>1691.150635</v>
      </c>
      <c r="D5" s="21"/>
    </row>
    <row r="6" ht="20.05" customHeight="1">
      <c r="B6" s="32"/>
      <c r="C6" s="16">
        <v>1313.239868</v>
      </c>
      <c r="D6" s="21"/>
    </row>
    <row r="7" ht="20.05" customHeight="1">
      <c r="B7" s="32"/>
      <c r="C7" s="16">
        <v>1497.471313</v>
      </c>
      <c r="D7" s="21"/>
    </row>
    <row r="8" ht="20.05" customHeight="1">
      <c r="B8" s="34">
        <v>2019</v>
      </c>
      <c r="C8" s="16">
        <v>1554.157959</v>
      </c>
      <c r="D8" s="21"/>
    </row>
    <row r="9" ht="20.05" customHeight="1">
      <c r="B9" s="32"/>
      <c r="C9" s="16">
        <v>1634.336304</v>
      </c>
      <c r="D9" s="21"/>
    </row>
    <row r="10" ht="20.05" customHeight="1">
      <c r="B10" s="32"/>
      <c r="C10" s="16">
        <v>1294.859985</v>
      </c>
      <c r="D10" s="21"/>
    </row>
    <row r="11" ht="20.05" customHeight="1">
      <c r="B11" s="32"/>
      <c r="C11" s="16">
        <v>1139.670776</v>
      </c>
      <c r="D11" s="21"/>
    </row>
    <row r="12" ht="20.05" customHeight="1">
      <c r="B12" s="34">
        <v>2020</v>
      </c>
      <c r="C12" s="16">
        <v>518.91394</v>
      </c>
      <c r="D12" s="21"/>
    </row>
    <row r="13" ht="20.05" customHeight="1">
      <c r="B13" s="32"/>
      <c r="C13" s="16">
        <v>591.658875</v>
      </c>
      <c r="D13" s="21"/>
    </row>
    <row r="14" ht="20.05" customHeight="1">
      <c r="B14" s="32"/>
      <c r="C14" s="16">
        <v>500</v>
      </c>
      <c r="D14" s="21"/>
    </row>
    <row r="15" ht="20.05" customHeight="1">
      <c r="B15" s="32"/>
      <c r="C15" s="16">
        <v>1535</v>
      </c>
      <c r="D15" s="21"/>
    </row>
    <row r="16" ht="20.05" customHeight="1">
      <c r="B16" s="34">
        <v>2021</v>
      </c>
      <c r="C16" s="16">
        <v>1095</v>
      </c>
      <c r="D16" s="21"/>
    </row>
    <row r="17" ht="20.05" customHeight="1">
      <c r="B17" s="32"/>
      <c r="C17" s="16">
        <v>755</v>
      </c>
      <c r="D17" s="21"/>
    </row>
    <row r="18" ht="20.05" customHeight="1">
      <c r="B18" s="32"/>
      <c r="C18" s="16">
        <v>1060</v>
      </c>
      <c r="D18" s="21"/>
    </row>
    <row r="19" ht="20.05" customHeight="1">
      <c r="B19" s="32"/>
      <c r="C19" s="16">
        <v>895</v>
      </c>
      <c r="D19" s="33">
        <v>905.216156029543</v>
      </c>
    </row>
    <row r="20" ht="20.05" customHeight="1">
      <c r="B20" s="34">
        <v>2022</v>
      </c>
      <c r="C20" s="16">
        <v>890</v>
      </c>
      <c r="D20" s="33">
        <f>C20</f>
        <v>890</v>
      </c>
    </row>
    <row r="21" ht="20.05" customHeight="1">
      <c r="B21" s="32"/>
      <c r="C21" s="16"/>
      <c r="D21" s="33">
        <f>'Model'!F42</f>
        <v>939.404268956255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