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<sst xmlns="http://schemas.openxmlformats.org/spreadsheetml/2006/main" uniqueCount="55">
  <si>
    <t>Financial model</t>
  </si>
  <si>
    <t>Rpbn</t>
  </si>
  <si>
    <t>4Q 2021</t>
  </si>
  <si>
    <t>Cash flow</t>
  </si>
  <si>
    <t>Growth</t>
  </si>
  <si>
    <t>Sales</t>
  </si>
  <si>
    <t>Cost ratio</t>
  </si>
  <si>
    <t xml:space="preserve">Cash costs </t>
  </si>
  <si>
    <t>Operating</t>
  </si>
  <si>
    <t xml:space="preserve">Investment </t>
  </si>
  <si>
    <t>Leases</t>
  </si>
  <si>
    <t>Finance</t>
  </si>
  <si>
    <t xml:space="preserve">Liabilities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</si>
  <si>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</si>
  <si>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</si>
  <si>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</si>
  <si>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</si>
  <si>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</si>
  <si>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</si>
  <si>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</si>
  <si>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</si>
  <si>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</si>
  <si>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</si>
  <si>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</si>
  <si>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</si>
  <si>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</si>
  <si>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</si>
  <si>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</si>
  <si>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>Net cash</t>
  </si>
  <si>
    <t xml:space="preserve">Valuation </t>
  </si>
  <si>
    <t xml:space="preserve">Capital </t>
  </si>
  <si>
    <t xml:space="preserve">Current value </t>
  </si>
  <si>
    <t>P/assets</t>
  </si>
  <si>
    <t>Yield</t>
  </si>
  <si>
    <t>Cashflow</t>
  </si>
  <si>
    <t xml:space="preserve">Payback years </t>
  </si>
  <si>
    <t xml:space="preserve">Forecast </t>
  </si>
  <si>
    <t xml:space="preserve">Value </t>
  </si>
  <si>
    <t>Shares</t>
  </si>
  <si>
    <t>Target</t>
  </si>
  <si>
    <t xml:space="preserve">Current </t>
  </si>
  <si>
    <t>V target</t>
  </si>
  <si>
    <t xml:space="preserve">12 month growth </t>
  </si>
  <si>
    <t xml:space="preserve">Sales v forecast </t>
  </si>
  <si>
    <t xml:space="preserve">Sales growth </t>
  </si>
  <si>
    <t>Cashflow costs</t>
  </si>
  <si>
    <t xml:space="preserve">Receipts </t>
  </si>
  <si>
    <t>Lease</t>
  </si>
  <si>
    <t>PPE</t>
  </si>
  <si>
    <t xml:space="preserve">Operating </t>
  </si>
  <si>
    <t xml:space="preserve">Free cashflow </t>
  </si>
  <si>
    <t>Rp bn</t>
  </si>
  <si>
    <t>Cash</t>
  </si>
  <si>
    <t>Assets</t>
  </si>
  <si>
    <t>ADES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</si>
</sst>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#,##0%"/>
    <numFmt numFmtId="60" formatCode="#,##0.0_);[Red]\(#,##0.0\)"/>
    <numFmt numFmtId="61" formatCode="#,##0%_);[Red]\(#,##0%\)"/>
    <numFmt numFmtId="62" formatCode="0_);[Red]\(0\)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49" fontId="0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60" fontId="2" fillId="2" borderId="1" applyNumberFormat="1" applyFont="1" applyFill="1" applyBorder="1" applyAlignment="1" applyProtection="0">
      <alignment vertical="top" wrapText="1"/>
    </xf>
    <xf numFmtId="38" fontId="3" borderId="3" applyNumberFormat="1" applyFont="1" applyFill="0" applyBorder="1" applyAlignment="1" applyProtection="0">
      <alignment horizontal="right" vertical="center" wrapText="1" readingOrder="1"/>
    </xf>
    <xf numFmtId="38" fontId="3" borderId="6" applyNumberFormat="1" applyFont="1" applyFill="0" applyBorder="1" applyAlignment="1" applyProtection="0">
      <alignment horizontal="right" vertical="center" wrapText="1" readingOrder="1"/>
    </xf>
    <xf numFmtId="62" fontId="3" borderId="6" applyNumberFormat="1" applyFont="1" applyFill="0" applyBorder="1" applyAlignment="1" applyProtection="0">
      <alignment horizontal="right" vertical="center" wrapText="1" readingOrder="1"/>
    </xf>
    <xf numFmtId="62" fontId="0" borderId="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625213</xdr:colOff>
      <xdr:row>2</xdr:row>
      <xdr:rowOff>18681</xdr:rowOff>
    </xdr:from>
    <xdr:to>
      <xdr:col>13</xdr:col>
      <xdr:colOff>676563</xdr:colOff>
      <xdr:row>47</xdr:row>
      <xdr:rowOff>29434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222613" y="1237881"/>
          <a:ext cx="8763551" cy="1147440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1.2578" style="1" customWidth="1"/>
    <col min="2" max="2" width="16.3438" style="1" customWidth="1"/>
    <col min="3" max="6" width="8.17969" style="1" customWidth="1"/>
    <col min="7" max="16384" width="16.3516" style="1" customWidth="1"/>
  </cols>
  <sheetData>
    <row r="1" ht="68.3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3">
        <v>2</v>
      </c>
      <c r="D3" s="4"/>
      <c r="E3" s="4"/>
      <c r="F3" s="4"/>
    </row>
    <row r="4" ht="20.25" customHeight="1">
      <c r="B4" t="s" s="5">
        <v>3</v>
      </c>
      <c r="C4" s="6">
        <f>AVERAGE('Sales'!G23:G26)</f>
        <v>0.104728042750225</v>
      </c>
      <c r="D4" s="7"/>
      <c r="E4" s="7"/>
      <c r="F4" s="8">
        <f>AVERAGE(C5:F5)</f>
        <v>0.0425</v>
      </c>
    </row>
    <row r="5" ht="20.05" customHeight="1">
      <c r="B5" t="s" s="9">
        <v>4</v>
      </c>
      <c r="C5" s="10">
        <v>0.07000000000000001</v>
      </c>
      <c r="D5" s="11">
        <v>-0.02</v>
      </c>
      <c r="E5" s="11">
        <v>0.07000000000000001</v>
      </c>
      <c r="F5" s="11">
        <v>0.05</v>
      </c>
    </row>
    <row r="6" ht="20.05" customHeight="1">
      <c r="B6" t="s" s="9">
        <v>5</v>
      </c>
      <c r="C6" s="12">
        <f>'Sales'!C26*(1+C5)</f>
        <v>257.94811</v>
      </c>
      <c r="D6" s="13">
        <f>C6*(1+D5)</f>
        <v>252.7891478</v>
      </c>
      <c r="E6" s="13">
        <f>D6*(1+E5)</f>
        <v>270.484388146</v>
      </c>
      <c r="F6" s="13">
        <f>E6*(1+F5)</f>
        <v>284.0086075533</v>
      </c>
    </row>
    <row r="7" ht="20.05" customHeight="1">
      <c r="B7" t="s" s="9">
        <v>6</v>
      </c>
      <c r="C7" s="14">
        <f>AVERAGE('Sales'!H24)</f>
        <v>-0.679459459459459</v>
      </c>
      <c r="D7" s="15">
        <f>C7</f>
        <v>-0.679459459459459</v>
      </c>
      <c r="E7" s="15">
        <f>D7</f>
        <v>-0.679459459459459</v>
      </c>
      <c r="F7" s="15">
        <f>E7</f>
        <v>-0.679459459459459</v>
      </c>
    </row>
    <row r="8" ht="20.05" customHeight="1">
      <c r="B8" t="s" s="9">
        <v>7</v>
      </c>
      <c r="C8" s="16">
        <f>C7*C6</f>
        <v>-175.265283389189</v>
      </c>
      <c r="D8" s="17">
        <f>D7*D6</f>
        <v>-171.759977721405</v>
      </c>
      <c r="E8" s="17">
        <f>E7*E6</f>
        <v>-183.783176161904</v>
      </c>
      <c r="F8" s="17">
        <f>F7*F6</f>
        <v>-192.972334969999</v>
      </c>
    </row>
    <row r="9" ht="20.05" customHeight="1">
      <c r="B9" t="s" s="9">
        <v>8</v>
      </c>
      <c r="C9" s="16">
        <f>C6+C8</f>
        <v>82.68282661081101</v>
      </c>
      <c r="D9" s="17">
        <f>D6+D8</f>
        <v>81.029170078595</v>
      </c>
      <c r="E9" s="17">
        <f>E6+E8</f>
        <v>86.70121198409601</v>
      </c>
      <c r="F9" s="17">
        <f>F6+F8</f>
        <v>91.036272583301</v>
      </c>
    </row>
    <row r="10" ht="20.05" customHeight="1">
      <c r="B10" t="s" s="9">
        <v>9</v>
      </c>
      <c r="C10" s="16">
        <f>AVERAGE('Cashflow'!G26)</f>
        <v>-23.459</v>
      </c>
      <c r="D10" s="17">
        <f>C10</f>
        <v>-23.459</v>
      </c>
      <c r="E10" s="17">
        <f>D10</f>
        <v>-23.459</v>
      </c>
      <c r="F10" s="17">
        <f>E10</f>
        <v>-23.459</v>
      </c>
    </row>
    <row r="11" ht="20.05" customHeight="1">
      <c r="B11" t="s" s="9">
        <v>10</v>
      </c>
      <c r="C11" s="16">
        <f>'Cashflow'!D26</f>
        <v>-1.3</v>
      </c>
      <c r="D11" s="17">
        <f>C11</f>
        <v>-1.3</v>
      </c>
      <c r="E11" s="17">
        <f>D11</f>
        <v>-1.3</v>
      </c>
      <c r="F11" s="17">
        <f>E11</f>
        <v>-1.3</v>
      </c>
    </row>
    <row r="12" ht="20.05" customHeight="1">
      <c r="B12" t="s" s="9">
        <v>11</v>
      </c>
      <c r="C12" s="16">
        <f>C13+C14+C16</f>
        <v>-59.223826610811</v>
      </c>
      <c r="D12" s="17">
        <f>D13+D14+D16</f>
        <v>-57.570170078595</v>
      </c>
      <c r="E12" s="17">
        <f>E13+E14+E16</f>
        <v>-61.8663845146952</v>
      </c>
      <c r="F12" s="17">
        <f>F13+F14+F16</f>
        <v>-62.6639407499806</v>
      </c>
    </row>
    <row r="13" ht="20.05" customHeight="1">
      <c r="B13" t="s" s="9">
        <v>12</v>
      </c>
      <c r="C13" s="16">
        <f>-('Balance sheet'!G26)/20</f>
        <v>-15.2864</v>
      </c>
      <c r="D13" s="17">
        <f>-C27/20</f>
        <v>-14.52208</v>
      </c>
      <c r="E13" s="17">
        <f>-D27/20</f>
        <v>-13.795976</v>
      </c>
      <c r="F13" s="17">
        <f>-E27/20</f>
        <v>-13.1061772</v>
      </c>
    </row>
    <row r="14" ht="20.05" customHeight="1">
      <c r="B14" t="s" s="9">
        <v>13</v>
      </c>
      <c r="C14" s="16">
        <f>IF(C22&gt;0,-C22*0.6,0)</f>
        <v>-44.5456959664866</v>
      </c>
      <c r="D14" s="17">
        <f>IF(D22&gt;0,-D22*0.6,0)</f>
        <v>-43.553502047157</v>
      </c>
      <c r="E14" s="17">
        <f>IF(E22&gt;0,-E22*0.6,0)</f>
        <v>-46.9567271904576</v>
      </c>
      <c r="F14" s="17">
        <f>IF(F22&gt;0,-F22*0.6,0)</f>
        <v>-49.5577635499806</v>
      </c>
    </row>
    <row r="15" ht="20.05" customHeight="1">
      <c r="B15" t="s" s="9">
        <v>14</v>
      </c>
      <c r="C15" s="16">
        <f>C9+C10+C13+C14</f>
        <v>-0.6082693556756</v>
      </c>
      <c r="D15" s="17">
        <f>D9+D10+D13+D14</f>
        <v>-0.505411968562</v>
      </c>
      <c r="E15" s="17">
        <f>E9+E10+E13+E14</f>
        <v>2.4895087936384</v>
      </c>
      <c r="F15" s="17">
        <f>F9+F10+F13+F14</f>
        <v>4.9133318333204</v>
      </c>
    </row>
    <row r="16" ht="20.05" customHeight="1">
      <c r="B16" t="s" s="9">
        <v>15</v>
      </c>
      <c r="C16" s="16">
        <f>-MIN(0,C15)</f>
        <v>0.6082693556756</v>
      </c>
      <c r="D16" s="17">
        <f>-MIN(C28,D15)</f>
        <v>0.505411968562</v>
      </c>
      <c r="E16" s="17">
        <f>-MIN(D28,E15)</f>
        <v>-1.1136813242376</v>
      </c>
      <c r="F16" s="17">
        <f>-MIN(E28,F15)</f>
        <v>0</v>
      </c>
    </row>
    <row r="17" ht="20.05" customHeight="1">
      <c r="B17" t="s" s="9">
        <v>16</v>
      </c>
      <c r="C17" s="16">
        <f>'Balance sheet'!C26</f>
        <v>421.169</v>
      </c>
      <c r="D17" s="17">
        <f>C19</f>
        <v>421.169</v>
      </c>
      <c r="E17" s="17">
        <f>D19</f>
        <v>421.169</v>
      </c>
      <c r="F17" s="17">
        <f>E19</f>
        <v>422.544827469401</v>
      </c>
    </row>
    <row r="18" ht="20.05" customHeight="1">
      <c r="B18" t="s" s="9">
        <v>17</v>
      </c>
      <c r="C18" s="16">
        <f>C9+C10+C12</f>
        <v>0</v>
      </c>
      <c r="D18" s="17">
        <f>D9+D10+D12</f>
        <v>0</v>
      </c>
      <c r="E18" s="17">
        <f>E9+E10+E12</f>
        <v>1.3758274694008</v>
      </c>
      <c r="F18" s="17">
        <f>F9+F10+F12</f>
        <v>4.9133318333204</v>
      </c>
    </row>
    <row r="19" ht="20.05" customHeight="1">
      <c r="B19" t="s" s="9">
        <v>18</v>
      </c>
      <c r="C19" s="16">
        <f>C17+C18</f>
        <v>421.169</v>
      </c>
      <c r="D19" s="17">
        <f>D17+D18</f>
        <v>421.169</v>
      </c>
      <c r="E19" s="17">
        <f>E17+E18</f>
        <v>422.544827469401</v>
      </c>
      <c r="F19" s="17">
        <f>F17+F18</f>
        <v>427.458159302721</v>
      </c>
    </row>
    <row r="20" ht="20.05" customHeight="1">
      <c r="B20" t="s" s="18">
        <v>19</v>
      </c>
      <c r="C20" s="19"/>
      <c r="D20" s="20"/>
      <c r="E20" s="20"/>
      <c r="F20" s="21"/>
    </row>
    <row r="21" ht="20.05" customHeight="1">
      <c r="B21" t="s" s="9">
        <v>20</v>
      </c>
      <c r="C21" s="16">
        <f>-AVERAGE('Sales'!E26)</f>
        <v>-8.44</v>
      </c>
      <c r="D21" s="17">
        <f>C21</f>
        <v>-8.44</v>
      </c>
      <c r="E21" s="17">
        <f>D21</f>
        <v>-8.44</v>
      </c>
      <c r="F21" s="17">
        <f>E21</f>
        <v>-8.44</v>
      </c>
    </row>
    <row r="22" ht="20.05" customHeight="1">
      <c r="B22" t="s" s="9">
        <v>21</v>
      </c>
      <c r="C22" s="16">
        <f>C6+C8+C21</f>
        <v>74.24282661081099</v>
      </c>
      <c r="D22" s="17">
        <f>D6+D8+D21</f>
        <v>72.589170078595</v>
      </c>
      <c r="E22" s="17">
        <f>E6+E8+E21</f>
        <v>78.26121198409599</v>
      </c>
      <c r="F22" s="17">
        <f>F6+F8+F21</f>
        <v>82.596272583301</v>
      </c>
    </row>
    <row r="23" ht="20.05" customHeight="1">
      <c r="B23" t="s" s="18">
        <v>22</v>
      </c>
      <c r="C23" s="19"/>
      <c r="D23" s="20"/>
      <c r="E23" s="20"/>
      <c r="F23" s="20"/>
    </row>
    <row r="24" ht="20.05" customHeight="1">
      <c r="B24" t="s" s="9">
        <v>23</v>
      </c>
      <c r="C24" s="16">
        <f>'Balance sheet'!E26+'Balance sheet'!F26-C10</f>
        <v>1181.819</v>
      </c>
      <c r="D24" s="17">
        <f>C24-D10</f>
        <v>1205.278</v>
      </c>
      <c r="E24" s="17">
        <f>D24-E10</f>
        <v>1228.737</v>
      </c>
      <c r="F24" s="17">
        <f>E24-F10</f>
        <v>1252.196</v>
      </c>
    </row>
    <row r="25" ht="20.05" customHeight="1">
      <c r="B25" t="s" s="9">
        <v>24</v>
      </c>
      <c r="C25" s="16">
        <f>'Balance sheet'!F26-C21</f>
        <v>438.88</v>
      </c>
      <c r="D25" s="17">
        <f>C25-D21</f>
        <v>447.32</v>
      </c>
      <c r="E25" s="17">
        <f>D25-E21</f>
        <v>455.76</v>
      </c>
      <c r="F25" s="17">
        <f>E25-F21</f>
        <v>464.2</v>
      </c>
    </row>
    <row r="26" ht="20.05" customHeight="1">
      <c r="B26" t="s" s="9">
        <v>25</v>
      </c>
      <c r="C26" s="16">
        <f>C24-C25</f>
        <v>742.939</v>
      </c>
      <c r="D26" s="17">
        <f>D24-D25</f>
        <v>757.958</v>
      </c>
      <c r="E26" s="17">
        <f>E24-E25</f>
        <v>772.977</v>
      </c>
      <c r="F26" s="17">
        <f>F24-F25</f>
        <v>787.996</v>
      </c>
    </row>
    <row r="27" ht="20.05" customHeight="1">
      <c r="B27" t="s" s="9">
        <v>12</v>
      </c>
      <c r="C27" s="16">
        <f>'Balance sheet'!G26+C13</f>
        <v>290.4416</v>
      </c>
      <c r="D27" s="17">
        <f>C27+D13</f>
        <v>275.91952</v>
      </c>
      <c r="E27" s="17">
        <f>D27+E13</f>
        <v>262.123544</v>
      </c>
      <c r="F27" s="17">
        <f>E27+F13</f>
        <v>249.0173668</v>
      </c>
    </row>
    <row r="28" ht="20.05" customHeight="1">
      <c r="B28" t="s" s="9">
        <v>15</v>
      </c>
      <c r="C28" s="16">
        <f>C16</f>
        <v>0.6082693556756</v>
      </c>
      <c r="D28" s="17">
        <f>C28+D16</f>
        <v>1.1136813242376</v>
      </c>
      <c r="E28" s="17">
        <f>D28+E16</f>
        <v>0</v>
      </c>
      <c r="F28" s="17">
        <f>E28+F16</f>
        <v>0</v>
      </c>
    </row>
    <row r="29" ht="20.05" customHeight="1">
      <c r="B29" t="s" s="9">
        <v>26</v>
      </c>
      <c r="C29" s="16">
        <f>'Balance sheet'!H26+C22+C14</f>
        <v>873.058130644324</v>
      </c>
      <c r="D29" s="17">
        <f>C29+D22+D14</f>
        <v>902.0937986757619</v>
      </c>
      <c r="E29" s="17">
        <f>D29+E22+E14</f>
        <v>933.3982834694</v>
      </c>
      <c r="F29" s="17">
        <f>E29+F22+F14</f>
        <v>966.436792502720</v>
      </c>
    </row>
    <row r="30" ht="20.05" customHeight="1">
      <c r="B30" t="s" s="9">
        <v>27</v>
      </c>
      <c r="C30" s="16">
        <f>C27+C28+C29-C19-C26</f>
        <v>-4e-13</v>
      </c>
      <c r="D30" s="17">
        <f>D27+D28+D29-D19-D26</f>
        <v>-4e-13</v>
      </c>
      <c r="E30" s="17">
        <f>E27+E28+E29-E19-E26</f>
        <v>-1e-12</v>
      </c>
      <c r="F30" s="17">
        <f>F27+F28+F29-F19-F26</f>
        <v>-1e-12</v>
      </c>
    </row>
    <row r="31" ht="20.05" customHeight="1">
      <c r="B31" t="s" s="9">
        <v>28</v>
      </c>
      <c r="C31" s="16">
        <f>C19-C27-C28</f>
        <v>130.119130644324</v>
      </c>
      <c r="D31" s="17">
        <f>D19-D27-D28</f>
        <v>144.135798675762</v>
      </c>
      <c r="E31" s="17">
        <f>E19-E27-E28</f>
        <v>160.421283469401</v>
      </c>
      <c r="F31" s="17">
        <f>F19-F27-F28</f>
        <v>178.440792502721</v>
      </c>
    </row>
    <row r="32" ht="20.05" customHeight="1">
      <c r="B32" t="s" s="18">
        <v>29</v>
      </c>
      <c r="C32" s="12"/>
      <c r="D32" s="13"/>
      <c r="E32" s="13"/>
      <c r="F32" s="13"/>
    </row>
    <row r="33" ht="20.05" customHeight="1">
      <c r="B33" t="s" s="9">
        <v>30</v>
      </c>
      <c r="C33" s="12">
        <f>'Cashflow'!K26-(C12-C11)</f>
        <v>214.246826610811</v>
      </c>
      <c r="D33" s="13">
        <f>C33-(D12-D11)</f>
        <v>270.516996689406</v>
      </c>
      <c r="E33" s="13">
        <f>D33-(E12-E11)</f>
        <v>331.083381204101</v>
      </c>
      <c r="F33" s="13">
        <f>E33-(F12-F11)</f>
        <v>392.447321954082</v>
      </c>
    </row>
    <row r="34" ht="20.05" customHeight="1">
      <c r="B34" t="s" s="9">
        <v>31</v>
      </c>
      <c r="C34" s="12"/>
      <c r="D34" s="13"/>
      <c r="E34" s="13"/>
      <c r="F34" s="13">
        <v>1781</v>
      </c>
    </row>
    <row r="35" ht="20.05" customHeight="1">
      <c r="B35" t="s" s="9">
        <v>32</v>
      </c>
      <c r="C35" s="12"/>
      <c r="D35" s="13"/>
      <c r="E35" s="13"/>
      <c r="F35" s="22">
        <f>F34/(F19+F26)</f>
        <v>1.46529590307356</v>
      </c>
    </row>
    <row r="36" ht="20.05" customHeight="1">
      <c r="B36" t="s" s="9">
        <v>33</v>
      </c>
      <c r="C36" s="12"/>
      <c r="D36" s="13"/>
      <c r="E36" s="13"/>
      <c r="F36" s="23">
        <f>-(C14+D14+E14+F14)/F34</f>
        <v>0.103657321029804</v>
      </c>
    </row>
    <row r="37" ht="20.05" customHeight="1">
      <c r="B37" t="s" s="9">
        <v>34</v>
      </c>
      <c r="C37" s="12"/>
      <c r="D37" s="13"/>
      <c r="E37" s="13"/>
      <c r="F37" s="13">
        <f>SUM(C9:F11)</f>
        <v>242.413481256803</v>
      </c>
    </row>
    <row r="38" ht="20.05" customHeight="1">
      <c r="B38" t="s" s="9">
        <v>35</v>
      </c>
      <c r="C38" s="12"/>
      <c r="D38" s="13"/>
      <c r="E38" s="13"/>
      <c r="F38" s="13">
        <f>'Balance sheet'!E26/F37</f>
        <v>3.00280329388476</v>
      </c>
    </row>
    <row r="39" ht="20.05" customHeight="1">
      <c r="B39" t="s" s="9">
        <v>29</v>
      </c>
      <c r="C39" s="12"/>
      <c r="D39" s="13"/>
      <c r="E39" s="13"/>
      <c r="F39" s="13">
        <f>F34/F37</f>
        <v>7.34695112980652</v>
      </c>
    </row>
    <row r="40" ht="20.05" customHeight="1">
      <c r="B40" t="s" s="24">
        <v>36</v>
      </c>
      <c r="C40" s="12"/>
      <c r="D40" s="13"/>
      <c r="E40" s="13"/>
      <c r="F40" s="13">
        <v>13</v>
      </c>
    </row>
    <row r="41" ht="20.05" customHeight="1">
      <c r="B41" t="s" s="9">
        <v>37</v>
      </c>
      <c r="C41" s="12"/>
      <c r="D41" s="13"/>
      <c r="E41" s="13"/>
      <c r="F41" s="13">
        <f>F37*F40</f>
        <v>3151.375256338440</v>
      </c>
    </row>
    <row r="42" ht="20.05" customHeight="1">
      <c r="B42" t="s" s="9">
        <v>38</v>
      </c>
      <c r="C42" s="12"/>
      <c r="D42" s="13"/>
      <c r="E42" s="13"/>
      <c r="F42" s="22">
        <f>F34/F44</f>
        <v>0.560062893081761</v>
      </c>
    </row>
    <row r="43" ht="20.05" customHeight="1">
      <c r="B43" t="s" s="9">
        <v>39</v>
      </c>
      <c r="C43" s="12"/>
      <c r="D43" s="13"/>
      <c r="E43" s="13"/>
      <c r="F43" s="13">
        <f>F41/F42</f>
        <v>5626.823871508280</v>
      </c>
    </row>
    <row r="44" ht="20.05" customHeight="1">
      <c r="B44" t="s" s="9">
        <v>40</v>
      </c>
      <c r="C44" s="12"/>
      <c r="D44" s="13"/>
      <c r="E44" s="13"/>
      <c r="F44" s="13">
        <f>'Share price'!C95</f>
        <v>3180</v>
      </c>
    </row>
    <row r="45" ht="20.05" customHeight="1">
      <c r="B45" t="s" s="9">
        <v>41</v>
      </c>
      <c r="C45" s="12"/>
      <c r="D45" s="13"/>
      <c r="E45" s="13"/>
      <c r="F45" s="23">
        <f>F43/F44-1</f>
        <v>0.769441469027761</v>
      </c>
    </row>
    <row r="46" ht="20.05" customHeight="1">
      <c r="B46" t="s" s="9">
        <v>42</v>
      </c>
      <c r="C46" s="12"/>
      <c r="D46" s="13"/>
      <c r="E46" s="13"/>
      <c r="F46" s="15">
        <f>'Sales'!C26/'Sales'!C22-1</f>
        <v>0.460163537250151</v>
      </c>
    </row>
    <row r="47" ht="20.05" customHeight="1">
      <c r="B47" t="s" s="9">
        <v>43</v>
      </c>
      <c r="C47" s="12"/>
      <c r="D47" s="13"/>
      <c r="E47" s="13"/>
      <c r="F47" s="15">
        <f>('Sales'!D22+'Sales'!D26+'Sales'!D23+'Sales'!D24+'Sales'!D25)/('Sales'!C22+'Sales'!C23+'Sales'!C24+'Sales'!C26+'Sales'!C25)-1</f>
        <v>-0.00101528198495626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3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17188" style="25" customWidth="1"/>
    <col min="2" max="2" width="7.61719" style="25" customWidth="1"/>
    <col min="3" max="10" width="9.92188" style="25" customWidth="1"/>
    <col min="11" max="16384" width="16.3516" style="25" customWidth="1"/>
  </cols>
  <sheetData>
    <row r="1" ht="24.2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26">
        <v>1</v>
      </c>
      <c r="C3" t="s" s="26">
        <v>5</v>
      </c>
      <c r="D3" t="s" s="26">
        <v>36</v>
      </c>
      <c r="E3" t="s" s="26">
        <v>24</v>
      </c>
      <c r="F3" t="s" s="26">
        <v>21</v>
      </c>
      <c r="G3" t="s" s="26">
        <v>44</v>
      </c>
      <c r="H3" t="s" s="26">
        <v>6</v>
      </c>
      <c r="I3" t="s" s="26">
        <v>45</v>
      </c>
      <c r="J3" t="s" s="26">
        <v>45</v>
      </c>
    </row>
    <row r="4" ht="20.25" customHeight="1">
      <c r="B4" s="27">
        <v>2016</v>
      </c>
      <c r="C4" s="28">
        <v>203.045</v>
      </c>
      <c r="D4" s="29"/>
      <c r="E4" s="30">
        <v>6.4</v>
      </c>
      <c r="F4" s="30">
        <v>15.1</v>
      </c>
      <c r="G4" s="8"/>
      <c r="H4" s="31">
        <f>(E4+F4-C4)/C4</f>
        <v>-0.894112142628481</v>
      </c>
      <c r="I4" s="8"/>
      <c r="J4" s="31">
        <f>('Cashflow'!F4-'Cashflow'!C4)/'Cashflow'!C4</f>
        <v>-0.84062937597067</v>
      </c>
    </row>
    <row r="5" ht="20.05" customHeight="1">
      <c r="B5" s="32"/>
      <c r="C5" s="16">
        <v>247.255</v>
      </c>
      <c r="D5" s="20"/>
      <c r="E5" s="17">
        <v>8.9</v>
      </c>
      <c r="F5" s="17">
        <v>7.2</v>
      </c>
      <c r="G5" s="15">
        <f>C5/C4-1</f>
        <v>0.217734984855574</v>
      </c>
      <c r="H5" s="15">
        <f>(E5+F5-C5)/C5</f>
        <v>-0.934885037714101</v>
      </c>
      <c r="I5" s="11"/>
      <c r="J5" s="15">
        <f>('Cashflow'!F5-'Cashflow'!C5)/'Cashflow'!C5</f>
        <v>-0.822902815517142</v>
      </c>
    </row>
    <row r="6" ht="20.05" customHeight="1">
      <c r="B6" s="32"/>
      <c r="C6" s="16">
        <v>208</v>
      </c>
      <c r="D6" s="20"/>
      <c r="E6" s="17">
        <v>7.9</v>
      </c>
      <c r="F6" s="17">
        <v>9.5</v>
      </c>
      <c r="G6" s="15">
        <f>C6/C5-1</f>
        <v>-0.158763220157327</v>
      </c>
      <c r="H6" s="15">
        <f>(E6+F6-C6)/C6</f>
        <v>-0.916346153846154</v>
      </c>
      <c r="I6" s="11"/>
      <c r="J6" s="15">
        <f>('Cashflow'!F6-'Cashflow'!C6)/'Cashflow'!C6</f>
        <v>-0.929958774980792</v>
      </c>
    </row>
    <row r="7" ht="20.05" customHeight="1">
      <c r="B7" s="32"/>
      <c r="C7" s="16">
        <v>229.4</v>
      </c>
      <c r="D7" s="20"/>
      <c r="E7" s="17">
        <v>8.4</v>
      </c>
      <c r="F7" s="17">
        <v>24.2</v>
      </c>
      <c r="G7" s="15">
        <f>C7/C6-1</f>
        <v>0.102884615384615</v>
      </c>
      <c r="H7" s="15">
        <f>(E7+F7-C7)/C7</f>
        <v>-0.857890148212729</v>
      </c>
      <c r="I7" s="11"/>
      <c r="J7" s="15">
        <f>('Cashflow'!F7-'Cashflow'!C7)/'Cashflow'!C7</f>
        <v>-0.840216582507733</v>
      </c>
    </row>
    <row r="8" ht="20.05" customHeight="1">
      <c r="B8" s="33">
        <v>2017</v>
      </c>
      <c r="C8" s="16">
        <v>196.7</v>
      </c>
      <c r="D8" s="20"/>
      <c r="E8" s="17">
        <v>8.199999999999999</v>
      </c>
      <c r="F8" s="17">
        <v>11.1</v>
      </c>
      <c r="G8" s="15">
        <f>C8/C7-1</f>
        <v>-0.14254577157803</v>
      </c>
      <c r="H8" s="15">
        <f>(E8+F8-C8)/C8</f>
        <v>-0.901881037112354</v>
      </c>
      <c r="I8" s="15">
        <f>AVERAGE(J5:J8)</f>
        <v>-0.8770603213375719</v>
      </c>
      <c r="J8" s="15">
        <f>('Cashflow'!F8-'Cashflow'!C8)/'Cashflow'!C8</f>
        <v>-0.915163112344621</v>
      </c>
    </row>
    <row r="9" ht="20.05" customHeight="1">
      <c r="B9" s="32"/>
      <c r="C9" s="16">
        <v>208.6</v>
      </c>
      <c r="D9" s="20"/>
      <c r="E9" s="17">
        <v>8.6</v>
      </c>
      <c r="F9" s="17">
        <v>1.9</v>
      </c>
      <c r="G9" s="15">
        <f>C9/C8-1</f>
        <v>0.0604982206405694</v>
      </c>
      <c r="H9" s="15">
        <f>(E9+F9-C9)/C9</f>
        <v>-0.949664429530201</v>
      </c>
      <c r="I9" s="15">
        <f>AVERAGE(J6:J9)</f>
        <v>-0.892778175454453</v>
      </c>
      <c r="J9" s="15">
        <f>('Cashflow'!F9-'Cashflow'!C9)/'Cashflow'!C9</f>
        <v>-0.885774231984666</v>
      </c>
    </row>
    <row r="10" ht="20.05" customHeight="1">
      <c r="B10" s="32"/>
      <c r="C10" s="16">
        <v>207.8</v>
      </c>
      <c r="D10" s="20"/>
      <c r="E10" s="17">
        <v>8.6</v>
      </c>
      <c r="F10" s="17">
        <v>10.2</v>
      </c>
      <c r="G10" s="15">
        <f>C10/C9-1</f>
        <v>-0.00383509108341323</v>
      </c>
      <c r="H10" s="15">
        <f>(E10+F10-C10)/C10</f>
        <v>-0.909528392685274</v>
      </c>
      <c r="I10" s="15">
        <f>AVERAGE(J7:J10)</f>
        <v>-0.902476345046013</v>
      </c>
      <c r="J10" s="15">
        <f>('Cashflow'!F10-'Cashflow'!C10)/'Cashflow'!C10</f>
        <v>-0.9687514533470321</v>
      </c>
    </row>
    <row r="11" ht="20.05" customHeight="1">
      <c r="B11" s="32"/>
      <c r="C11" s="16">
        <v>201.4</v>
      </c>
      <c r="D11" s="20"/>
      <c r="E11" s="17">
        <v>8.9</v>
      </c>
      <c r="F11" s="17">
        <v>15</v>
      </c>
      <c r="G11" s="15">
        <f>C11/C10-1</f>
        <v>-0.0307988450433109</v>
      </c>
      <c r="H11" s="15">
        <f>(E11+F11-C11)/C11</f>
        <v>-0.881330685203575</v>
      </c>
      <c r="I11" s="15">
        <f>AVERAGE(J8:J11)</f>
        <v>-0.891343932774221</v>
      </c>
      <c r="J11" s="15">
        <f>('Cashflow'!F11-'Cashflow'!C11)/'Cashflow'!C11</f>
        <v>-0.795686933420566</v>
      </c>
    </row>
    <row r="12" ht="20.05" customHeight="1">
      <c r="B12" s="33">
        <v>2018</v>
      </c>
      <c r="C12" s="16">
        <v>189.3</v>
      </c>
      <c r="D12" s="20"/>
      <c r="E12" s="17">
        <v>10.3</v>
      </c>
      <c r="F12" s="17">
        <v>13.6</v>
      </c>
      <c r="G12" s="15">
        <f>C12/C11-1</f>
        <v>-0.0600794438927507</v>
      </c>
      <c r="H12" s="15">
        <f>(E12+F12-C12)/C12</f>
        <v>-0.873745377707343</v>
      </c>
      <c r="I12" s="15">
        <f>AVERAGE(J9:J12)</f>
        <v>-0.877090084675072</v>
      </c>
      <c r="J12" s="15">
        <f>('Cashflow'!F12-'Cashflow'!C12)/'Cashflow'!C12</f>
        <v>-0.858147719948025</v>
      </c>
    </row>
    <row r="13" ht="20.05" customHeight="1">
      <c r="B13" s="32"/>
      <c r="C13" s="16">
        <v>203.3</v>
      </c>
      <c r="D13" s="20"/>
      <c r="E13" s="17">
        <v>10.2</v>
      </c>
      <c r="F13" s="17">
        <v>8</v>
      </c>
      <c r="G13" s="15">
        <f>C13/C12-1</f>
        <v>0.07395668251452719</v>
      </c>
      <c r="H13" s="15">
        <f>(E13+F13-C13)/C13</f>
        <v>-0.910477127397934</v>
      </c>
      <c r="I13" s="15">
        <f>AVERAGE(J10:J13)</f>
        <v>-0.865469663775721</v>
      </c>
      <c r="J13" s="15">
        <f>('Cashflow'!F13-'Cashflow'!C13)/'Cashflow'!C13</f>
        <v>-0.839292548387261</v>
      </c>
    </row>
    <row r="14" ht="20.05" customHeight="1">
      <c r="B14" s="32"/>
      <c r="C14" s="16">
        <v>203.8</v>
      </c>
      <c r="D14" s="20"/>
      <c r="E14" s="17">
        <v>10.4</v>
      </c>
      <c r="F14" s="17">
        <v>14</v>
      </c>
      <c r="G14" s="15">
        <f>C14/C13-1</f>
        <v>0.00245941957697983</v>
      </c>
      <c r="H14" s="15">
        <f>(E14+F14-C14)/C14</f>
        <v>-0.880274779195289</v>
      </c>
      <c r="I14" s="15">
        <f>AVERAGE(J11:J14)</f>
        <v>-0.812046530316724</v>
      </c>
      <c r="J14" s="15">
        <f>('Cashflow'!F14-'Cashflow'!C14)/'Cashflow'!C14</f>
        <v>-0.755058919511044</v>
      </c>
    </row>
    <row r="15" ht="20.05" customHeight="1">
      <c r="B15" s="32"/>
      <c r="C15" s="16">
        <v>207.9</v>
      </c>
      <c r="D15" s="20"/>
      <c r="E15" s="17">
        <v>9.9</v>
      </c>
      <c r="F15" s="17">
        <v>17.4</v>
      </c>
      <c r="G15" s="15">
        <f>C15/C14-1</f>
        <v>0.0201177625122669</v>
      </c>
      <c r="H15" s="15">
        <f>(E15+F15-C15)/C15</f>
        <v>-0.868686868686869</v>
      </c>
      <c r="I15" s="15">
        <f>AVERAGE(J12:J15)</f>
        <v>-0.821390878372495</v>
      </c>
      <c r="J15" s="15">
        <f>('Cashflow'!F15-'Cashflow'!C15)/'Cashflow'!C15</f>
        <v>-0.83306432564365</v>
      </c>
    </row>
    <row r="16" ht="20.05" customHeight="1">
      <c r="B16" s="33">
        <v>2019</v>
      </c>
      <c r="C16" s="16">
        <v>191.2</v>
      </c>
      <c r="D16" s="20"/>
      <c r="E16" s="17">
        <v>11.1</v>
      </c>
      <c r="F16" s="17">
        <v>17.4</v>
      </c>
      <c r="G16" s="15">
        <f>C16/C15-1</f>
        <v>-0.0803270803270803</v>
      </c>
      <c r="H16" s="15">
        <f>(E16+F16-C16)/C16</f>
        <v>-0.850941422594142</v>
      </c>
      <c r="I16" s="15">
        <f>AVERAGE(J13:J16)</f>
        <v>-0.827035062245871</v>
      </c>
      <c r="J16" s="15">
        <f>('Cashflow'!F16-'Cashflow'!C16)/'Cashflow'!C16</f>
        <v>-0.880724455441528</v>
      </c>
    </row>
    <row r="17" ht="20.05" customHeight="1">
      <c r="B17" s="32"/>
      <c r="C17" s="16">
        <v>211.9</v>
      </c>
      <c r="D17" s="20"/>
      <c r="E17" s="17">
        <v>10.7</v>
      </c>
      <c r="F17" s="17">
        <v>13.2</v>
      </c>
      <c r="G17" s="15">
        <f>C17/C16-1</f>
        <v>0.10826359832636</v>
      </c>
      <c r="H17" s="15">
        <f>(E17+F17-C17)/C17</f>
        <v>-0.887210948560642</v>
      </c>
      <c r="I17" s="15">
        <f>AVERAGE(J14:J17)</f>
        <v>-0.817009983088155</v>
      </c>
      <c r="J17" s="15">
        <f>('Cashflow'!F17-'Cashflow'!C17)/'Cashflow'!C17</f>
        <v>-0.799192231756398</v>
      </c>
    </row>
    <row r="18" ht="20.05" customHeight="1">
      <c r="B18" s="32"/>
      <c r="C18" s="16">
        <v>212.9</v>
      </c>
      <c r="D18" s="20"/>
      <c r="E18" s="17">
        <v>10.4</v>
      </c>
      <c r="F18" s="17">
        <v>-1.1</v>
      </c>
      <c r="G18" s="15">
        <f>C18/C17-1</f>
        <v>0.0047192071731949</v>
      </c>
      <c r="H18" s="15">
        <f>(E18+F18-C18)/C18</f>
        <v>-0.956317519962424</v>
      </c>
      <c r="I18" s="15">
        <f>AVERAGE(J15:J18)</f>
        <v>-0.802351760401053</v>
      </c>
      <c r="J18" s="15">
        <f>('Cashflow'!F18-'Cashflow'!C18)/'Cashflow'!C18</f>
        <v>-0.696426028762637</v>
      </c>
    </row>
    <row r="19" ht="20.05" customHeight="1">
      <c r="B19" s="32"/>
      <c r="C19" s="16">
        <v>218.3</v>
      </c>
      <c r="D19" s="20"/>
      <c r="E19" s="17">
        <v>10.4</v>
      </c>
      <c r="F19" s="17">
        <v>54.4</v>
      </c>
      <c r="G19" s="15">
        <f>C19/C18-1</f>
        <v>0.0253640206669798</v>
      </c>
      <c r="H19" s="15">
        <f>(E19+F19-C19)/C19</f>
        <v>-0.703160787906551</v>
      </c>
      <c r="I19" s="15">
        <f>AVERAGE(J16:J19)</f>
        <v>-0.78071733708658</v>
      </c>
      <c r="J19" s="15">
        <f>('Cashflow'!F19-'Cashflow'!C19)/'Cashflow'!C19</f>
        <v>-0.746526632385757</v>
      </c>
    </row>
    <row r="20" ht="20.05" customHeight="1">
      <c r="B20" s="33">
        <v>2020</v>
      </c>
      <c r="C20" s="16">
        <v>199</v>
      </c>
      <c r="D20" s="20"/>
      <c r="E20" s="17">
        <v>10.7</v>
      </c>
      <c r="F20" s="17">
        <v>21.2</v>
      </c>
      <c r="G20" s="15">
        <f>C20/C19-1</f>
        <v>-0.08841044434264771</v>
      </c>
      <c r="H20" s="15">
        <f>(E20+F20-C20)/C20</f>
        <v>-0.839698492462312</v>
      </c>
      <c r="I20" s="15">
        <f>AVERAGE(J17:J20)</f>
        <v>-0.721759145262951</v>
      </c>
      <c r="J20" s="15">
        <f>('Cashflow'!F20-'Cashflow'!C20)/'Cashflow'!C20</f>
        <v>-0.644891688147013</v>
      </c>
    </row>
    <row r="21" ht="20.05" customHeight="1">
      <c r="B21" s="32"/>
      <c r="C21" s="16">
        <v>120.9</v>
      </c>
      <c r="D21" s="20"/>
      <c r="E21" s="17">
        <v>10.7</v>
      </c>
      <c r="F21" s="17">
        <v>18.7</v>
      </c>
      <c r="G21" s="15">
        <f>C21/C20-1</f>
        <v>-0.392462311557789</v>
      </c>
      <c r="H21" s="15">
        <f>(E21+F21-C21)/C21</f>
        <v>-0.75682382133995</v>
      </c>
      <c r="I21" s="15">
        <f>AVERAGE(J18:J21)</f>
        <v>-0.7288344802051619</v>
      </c>
      <c r="J21" s="15">
        <f>('Cashflow'!F21-'Cashflow'!C21)/'Cashflow'!C21</f>
        <v>-0.8274935715252399</v>
      </c>
    </row>
    <row r="22" ht="20.05" customHeight="1">
      <c r="B22" s="32"/>
      <c r="C22" s="16">
        <v>165.1</v>
      </c>
      <c r="D22" s="17">
        <v>132.99</v>
      </c>
      <c r="E22" s="17">
        <v>10</v>
      </c>
      <c r="F22" s="17">
        <v>34.1</v>
      </c>
      <c r="G22" s="15">
        <f>C22/C21-1</f>
        <v>0.365591397849462</v>
      </c>
      <c r="H22" s="15">
        <f>(E22+F22-C22)/C22</f>
        <v>-0.732889158086008</v>
      </c>
      <c r="I22" s="15">
        <f>AVERAGE(J19:J22)</f>
        <v>-0.698787960458049</v>
      </c>
      <c r="J22" s="15">
        <f>('Cashflow'!F22-'Cashflow'!C22)/'Cashflow'!C22</f>
        <v>-0.576239949774186</v>
      </c>
    </row>
    <row r="23" ht="20.05" customHeight="1">
      <c r="B23" s="32"/>
      <c r="C23" s="16">
        <v>188.4</v>
      </c>
      <c r="D23" s="17">
        <v>181.61</v>
      </c>
      <c r="E23" s="17">
        <v>11.7</v>
      </c>
      <c r="F23" s="17">
        <v>61.8</v>
      </c>
      <c r="G23" s="15">
        <f>C23/C22-1</f>
        <v>0.141126589945488</v>
      </c>
      <c r="H23" s="15">
        <f>(E23+F23-C23)/C23</f>
        <v>-0.609872611464968</v>
      </c>
      <c r="I23" s="15">
        <f>AVERAGE(J20:J23)</f>
        <v>-0.668885433537078</v>
      </c>
      <c r="J23" s="15">
        <f>('Cashflow'!F23-'Cashflow'!C23)/'Cashflow'!C23</f>
        <v>-0.626916524701874</v>
      </c>
    </row>
    <row r="24" ht="20.05" customHeight="1">
      <c r="B24" s="33">
        <v>2021</v>
      </c>
      <c r="C24" s="16">
        <v>185</v>
      </c>
      <c r="D24" s="17">
        <v>190.6905</v>
      </c>
      <c r="E24" s="34">
        <f>10.9+0.4</f>
        <v>11.3</v>
      </c>
      <c r="F24" s="17">
        <v>48</v>
      </c>
      <c r="G24" s="15">
        <f>C24/C23-1</f>
        <v>-0.0180467091295117</v>
      </c>
      <c r="H24" s="15">
        <f>(E24+F24-C24)/C24</f>
        <v>-0.679459459459459</v>
      </c>
      <c r="I24" s="15">
        <f>AVERAGE(J21:J24)</f>
        <v>-0.665693599583227</v>
      </c>
      <c r="J24" s="15">
        <f>('Cashflow'!F24-'Cashflow'!C24)/'Cashflow'!C24</f>
        <v>-0.632124352331606</v>
      </c>
    </row>
    <row r="25" ht="20.05" customHeight="1">
      <c r="B25" s="32"/>
      <c r="C25" s="16">
        <f>375-C24</f>
        <v>190</v>
      </c>
      <c r="D25" s="17">
        <v>205.35</v>
      </c>
      <c r="E25" s="17">
        <f>19.5+0.9-E24</f>
        <v>9.1</v>
      </c>
      <c r="F25" s="17">
        <f>89.9-F24</f>
        <v>41.9</v>
      </c>
      <c r="G25" s="15">
        <f>C25/C24-1</f>
        <v>0.027027027027027</v>
      </c>
      <c r="H25" s="15">
        <f>(E25+F25-C25)/C25</f>
        <v>-0.731578947368421</v>
      </c>
      <c r="I25" s="15">
        <f>AVERAGE(J22:J25)</f>
        <v>-0.651690135102871</v>
      </c>
      <c r="J25" s="15">
        <f>('Cashflow'!F25-'Cashflow'!C25)/'Cashflow'!C25</f>
        <v>-0.771479713603819</v>
      </c>
    </row>
    <row r="26" ht="20.05" customHeight="1">
      <c r="B26" s="32"/>
      <c r="C26" s="16">
        <f>616.073-C25-C24</f>
        <v>241.073</v>
      </c>
      <c r="D26" s="17">
        <f>'Model'!C6</f>
        <v>257.94811</v>
      </c>
      <c r="E26" s="17">
        <f>28.84-E25-E24</f>
        <v>8.44</v>
      </c>
      <c r="F26" s="17">
        <f>142.853-F25-F24</f>
        <v>52.953</v>
      </c>
      <c r="G26" s="15">
        <f>C26/C25-1</f>
        <v>0.268805263157895</v>
      </c>
      <c r="H26" s="15">
        <f>(E26+F26-C26)/C26</f>
        <v>-0.745334400783165</v>
      </c>
      <c r="I26" s="15">
        <f>AVERAGE(J23:J26)</f>
        <v>-0.664628391866292</v>
      </c>
      <c r="J26" s="15">
        <f>('Cashflow'!F26-'Cashflow'!C26)/'Cashflow'!C26</f>
        <v>-0.627992976827867</v>
      </c>
    </row>
    <row r="27" ht="20.05" customHeight="1">
      <c r="B27" s="32"/>
      <c r="C27" s="16"/>
      <c r="D27" s="20">
        <f>'Model'!C6</f>
        <v>257.94811</v>
      </c>
      <c r="E27" s="17"/>
      <c r="F27" s="17"/>
      <c r="G27" s="11"/>
      <c r="H27" s="11">
        <f>'Model'!C7</f>
        <v>-0.679459459459459</v>
      </c>
      <c r="I27" s="11"/>
      <c r="J27" s="11"/>
    </row>
    <row r="28" ht="20.05" customHeight="1">
      <c r="B28" s="33">
        <v>2022</v>
      </c>
      <c r="C28" s="16"/>
      <c r="D28" s="17">
        <f>'Model'!D6</f>
        <v>252.7891478</v>
      </c>
      <c r="E28" s="17"/>
      <c r="F28" s="17"/>
      <c r="G28" s="11"/>
      <c r="H28" s="11"/>
      <c r="I28" s="11"/>
      <c r="J28" s="11"/>
    </row>
    <row r="29" ht="20.05" customHeight="1">
      <c r="B29" s="32"/>
      <c r="C29" s="16"/>
      <c r="D29" s="17">
        <f>'Model'!E6</f>
        <v>270.484388146</v>
      </c>
      <c r="E29" s="17"/>
      <c r="F29" s="17"/>
      <c r="G29" s="11"/>
      <c r="H29" s="11"/>
      <c r="I29" s="11"/>
      <c r="J29" s="11"/>
    </row>
    <row r="30" ht="20.05" customHeight="1">
      <c r="B30" s="32"/>
      <c r="C30" s="16"/>
      <c r="D30" s="17">
        <f>'Model'!F6</f>
        <v>284.0086075533</v>
      </c>
      <c r="E30" s="17"/>
      <c r="F30" s="17"/>
      <c r="G30" s="11"/>
      <c r="H30" s="11"/>
      <c r="I30" s="11"/>
      <c r="J30" s="11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64844" style="35" customWidth="1"/>
    <col min="2" max="2" width="7.54688" style="35" customWidth="1"/>
    <col min="3" max="11" width="9.49219" style="35" customWidth="1"/>
    <col min="12" max="16384" width="16.3516" style="35" customWidth="1"/>
  </cols>
  <sheetData>
    <row r="1" ht="36.4" customHeight="1"/>
    <row r="2" ht="27.65" customHeight="1">
      <c r="B2" t="s" s="2">
        <v>34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26">
        <v>1</v>
      </c>
      <c r="C3" t="s" s="26">
        <v>46</v>
      </c>
      <c r="D3" t="s" s="26">
        <v>47</v>
      </c>
      <c r="E3" t="s" s="26">
        <v>48</v>
      </c>
      <c r="F3" t="s" s="26">
        <v>49</v>
      </c>
      <c r="G3" t="s" s="26">
        <v>9</v>
      </c>
      <c r="H3" t="s" s="26">
        <v>11</v>
      </c>
      <c r="I3" t="s" s="26">
        <v>50</v>
      </c>
      <c r="J3" t="s" s="26">
        <v>34</v>
      </c>
      <c r="K3" t="s" s="26">
        <v>30</v>
      </c>
    </row>
    <row r="4" ht="20.25" customHeight="1">
      <c r="B4" s="27">
        <v>2016</v>
      </c>
      <c r="C4" s="28">
        <v>196.385</v>
      </c>
      <c r="D4" s="30"/>
      <c r="E4" s="30"/>
      <c r="F4" s="30">
        <v>31.298</v>
      </c>
      <c r="G4" s="30">
        <v>-12.374</v>
      </c>
      <c r="H4" s="30">
        <v>-21.563</v>
      </c>
      <c r="I4" s="30">
        <f>F4+G4</f>
        <v>18.924</v>
      </c>
      <c r="J4" s="29"/>
      <c r="K4" s="30">
        <f>-(H4-D4)</f>
        <v>21.563</v>
      </c>
    </row>
    <row r="5" ht="20.05" customHeight="1">
      <c r="B5" s="32"/>
      <c r="C5" s="16">
        <v>207.564</v>
      </c>
      <c r="D5" s="17"/>
      <c r="E5" s="17"/>
      <c r="F5" s="17">
        <v>36.759</v>
      </c>
      <c r="G5" s="17">
        <v>-19.299</v>
      </c>
      <c r="H5" s="17">
        <v>-1.662</v>
      </c>
      <c r="I5" s="17">
        <f>F5+G5</f>
        <v>17.46</v>
      </c>
      <c r="J5" s="20"/>
      <c r="K5" s="17">
        <f>-(H5-D5)+K4</f>
        <v>23.225</v>
      </c>
    </row>
    <row r="6" ht="20.05" customHeight="1">
      <c r="B6" s="32"/>
      <c r="C6" s="16">
        <v>242.086</v>
      </c>
      <c r="D6" s="17"/>
      <c r="E6" s="17"/>
      <c r="F6" s="17">
        <v>16.956</v>
      </c>
      <c r="G6" s="17">
        <v>-14.168</v>
      </c>
      <c r="H6" s="17">
        <v>-4.459</v>
      </c>
      <c r="I6" s="17">
        <f>F6+G6</f>
        <v>2.788</v>
      </c>
      <c r="J6" s="20"/>
      <c r="K6" s="17">
        <f>-(H6-D6)+K5</f>
        <v>27.684</v>
      </c>
    </row>
    <row r="7" ht="20.05" customHeight="1">
      <c r="B7" s="32"/>
      <c r="C7" s="16">
        <v>213.683</v>
      </c>
      <c r="D7" s="17"/>
      <c r="E7" s="17"/>
      <c r="F7" s="17">
        <v>34.143</v>
      </c>
      <c r="G7" s="17">
        <v>-96.71299999999999</v>
      </c>
      <c r="H7" s="17">
        <v>62.33</v>
      </c>
      <c r="I7" s="17">
        <f>F7+G7</f>
        <v>-62.57</v>
      </c>
      <c r="J7" s="20"/>
      <c r="K7" s="17">
        <f>-(H7-D7)+K6</f>
        <v>-34.646</v>
      </c>
    </row>
    <row r="8" ht="20.05" customHeight="1">
      <c r="B8" s="33">
        <v>2017</v>
      </c>
      <c r="C8" s="16">
        <v>194.927</v>
      </c>
      <c r="D8" s="17"/>
      <c r="E8" s="17">
        <v>-11.1</v>
      </c>
      <c r="F8" s="17">
        <v>16.537</v>
      </c>
      <c r="G8" s="17">
        <v>-31.438</v>
      </c>
      <c r="H8" s="17">
        <v>2.645</v>
      </c>
      <c r="I8" s="17">
        <f>F8+E8</f>
        <v>5.437</v>
      </c>
      <c r="J8" s="17">
        <f>AVERAGE(I5:I8)</f>
        <v>-9.22125</v>
      </c>
      <c r="K8" s="17">
        <f>-(H8-D8)+K7</f>
        <v>-37.291</v>
      </c>
    </row>
    <row r="9" ht="20.05" customHeight="1">
      <c r="B9" s="32"/>
      <c r="C9" s="16">
        <v>193.03</v>
      </c>
      <c r="D9" s="17"/>
      <c r="E9" s="17">
        <v>-33</v>
      </c>
      <c r="F9" s="17">
        <v>22.049</v>
      </c>
      <c r="G9" s="17">
        <v>-16.123</v>
      </c>
      <c r="H9" s="17">
        <v>5.845</v>
      </c>
      <c r="I9" s="17">
        <f>F9+E9</f>
        <v>-10.951</v>
      </c>
      <c r="J9" s="17">
        <f>AVERAGE(I6:I9)</f>
        <v>-16.324</v>
      </c>
      <c r="K9" s="17">
        <f>-(H9-D9)+K8</f>
        <v>-43.136</v>
      </c>
    </row>
    <row r="10" ht="20.05" customHeight="1">
      <c r="B10" s="32"/>
      <c r="C10" s="16">
        <v>236.523</v>
      </c>
      <c r="D10" s="17"/>
      <c r="E10" s="17">
        <v>-19.7</v>
      </c>
      <c r="F10" s="17">
        <v>7.391</v>
      </c>
      <c r="G10" s="17">
        <v>-19.426</v>
      </c>
      <c r="H10" s="17">
        <v>-3.759</v>
      </c>
      <c r="I10" s="17">
        <f>F10+E10</f>
        <v>-12.309</v>
      </c>
      <c r="J10" s="17">
        <f>AVERAGE(I7:I10)</f>
        <v>-20.09825</v>
      </c>
      <c r="K10" s="17">
        <f>-(H10-D10)+K9</f>
        <v>-39.377</v>
      </c>
    </row>
    <row r="11" ht="20.05" customHeight="1">
      <c r="B11" s="32"/>
      <c r="C11" s="16">
        <v>201.759</v>
      </c>
      <c r="D11" s="17"/>
      <c r="E11" s="17">
        <v>-74.5</v>
      </c>
      <c r="F11" s="17">
        <v>41.222</v>
      </c>
      <c r="G11" s="17">
        <v>-29.948</v>
      </c>
      <c r="H11" s="17">
        <v>-4.804</v>
      </c>
      <c r="I11" s="17">
        <f>F11+E11</f>
        <v>-33.278</v>
      </c>
      <c r="J11" s="17">
        <f>AVERAGE(I8:I11)</f>
        <v>-12.77525</v>
      </c>
      <c r="K11" s="17">
        <f>-(H11-D11)+K10</f>
        <v>-34.573</v>
      </c>
    </row>
    <row r="12" ht="20.05" customHeight="1">
      <c r="B12" s="33">
        <v>2018</v>
      </c>
      <c r="C12" s="16">
        <v>195.478</v>
      </c>
      <c r="D12" s="17"/>
      <c r="E12" s="17">
        <v>-4.2</v>
      </c>
      <c r="F12" s="17">
        <v>27.729</v>
      </c>
      <c r="G12" s="17">
        <v>-29.872</v>
      </c>
      <c r="H12" s="17">
        <v>26.972</v>
      </c>
      <c r="I12" s="17">
        <f>F12+E12</f>
        <v>23.529</v>
      </c>
      <c r="J12" s="17">
        <f>AVERAGE(I9:I12)</f>
        <v>-8.25225</v>
      </c>
      <c r="K12" s="17">
        <f>-(H12-D12)+K11</f>
        <v>-61.545</v>
      </c>
    </row>
    <row r="13" ht="20.05" customHeight="1">
      <c r="B13" s="32"/>
      <c r="C13" s="16">
        <v>195.971</v>
      </c>
      <c r="D13" s="17"/>
      <c r="E13" s="17">
        <v>-1.5</v>
      </c>
      <c r="F13" s="17">
        <v>31.494</v>
      </c>
      <c r="G13" s="17">
        <v>-2.098</v>
      </c>
      <c r="H13" s="17">
        <v>-15.507</v>
      </c>
      <c r="I13" s="17">
        <f>F13+E13</f>
        <v>29.994</v>
      </c>
      <c r="J13" s="17">
        <f>AVERAGE(I10:I13)</f>
        <v>1.984</v>
      </c>
      <c r="K13" s="17">
        <f>-(H13-D13)+K12</f>
        <v>-46.038</v>
      </c>
    </row>
    <row r="14" ht="20.05" customHeight="1">
      <c r="B14" s="32"/>
      <c r="C14" s="16">
        <v>218.179</v>
      </c>
      <c r="D14" s="17"/>
      <c r="E14" s="17">
        <v>-4.5</v>
      </c>
      <c r="F14" s="17">
        <v>53.441</v>
      </c>
      <c r="G14" s="17">
        <v>-5.553</v>
      </c>
      <c r="H14" s="17">
        <v>-20.597</v>
      </c>
      <c r="I14" s="17">
        <f>F14+E14</f>
        <v>48.941</v>
      </c>
      <c r="J14" s="17">
        <f>AVERAGE(I11:I14)</f>
        <v>17.2965</v>
      </c>
      <c r="K14" s="17">
        <f>-(H14-D14)+K13</f>
        <v>-25.441</v>
      </c>
    </row>
    <row r="15" ht="20.05" customHeight="1">
      <c r="B15" s="32"/>
      <c r="C15" s="16">
        <v>203.216</v>
      </c>
      <c r="D15" s="17"/>
      <c r="E15" s="17">
        <v>-0.8</v>
      </c>
      <c r="F15" s="17">
        <v>33.924</v>
      </c>
      <c r="G15" s="17">
        <v>-1.936</v>
      </c>
      <c r="H15" s="17">
        <v>-21.231</v>
      </c>
      <c r="I15" s="17">
        <f>F15+E15</f>
        <v>33.124</v>
      </c>
      <c r="J15" s="17">
        <f>AVERAGE(I12:I15)</f>
        <v>33.897</v>
      </c>
      <c r="K15" s="17">
        <f>-(H15-D15)+K14</f>
        <v>-4.21</v>
      </c>
    </row>
    <row r="16" ht="20.05" customHeight="1">
      <c r="B16" s="33">
        <v>2019</v>
      </c>
      <c r="C16" s="16">
        <v>197.224</v>
      </c>
      <c r="D16" s="17"/>
      <c r="E16" s="17">
        <v>-2.4</v>
      </c>
      <c r="F16" s="17">
        <v>23.524</v>
      </c>
      <c r="G16" s="17">
        <v>-2.902</v>
      </c>
      <c r="H16" s="17">
        <v>-21.229</v>
      </c>
      <c r="I16" s="17">
        <f>F16+E16</f>
        <v>21.124</v>
      </c>
      <c r="J16" s="17">
        <f>AVERAGE(I13:I16)</f>
        <v>33.29575</v>
      </c>
      <c r="K16" s="17">
        <f>-(H16-D16)+K15</f>
        <v>17.019</v>
      </c>
    </row>
    <row r="17" ht="20.05" customHeight="1">
      <c r="B17" s="32"/>
      <c r="C17" s="16">
        <v>210.704</v>
      </c>
      <c r="D17" s="17"/>
      <c r="E17" s="17">
        <v>-3.6</v>
      </c>
      <c r="F17" s="17">
        <v>42.311</v>
      </c>
      <c r="G17" s="17">
        <v>9.316000000000001</v>
      </c>
      <c r="H17" s="17">
        <v>-21.107</v>
      </c>
      <c r="I17" s="17">
        <f>F17+E17</f>
        <v>38.711</v>
      </c>
      <c r="J17" s="17">
        <f>AVERAGE(I14:I17)</f>
        <v>35.475</v>
      </c>
      <c r="K17" s="17">
        <f>-(H17-D17)+K16</f>
        <v>38.126</v>
      </c>
    </row>
    <row r="18" ht="20.05" customHeight="1">
      <c r="B18" s="32"/>
      <c r="C18" s="16">
        <v>217.713</v>
      </c>
      <c r="D18" s="17"/>
      <c r="E18" s="17">
        <v>0</v>
      </c>
      <c r="F18" s="17">
        <v>66.092</v>
      </c>
      <c r="G18" s="17">
        <v>-15.728</v>
      </c>
      <c r="H18" s="17">
        <v>-20.205</v>
      </c>
      <c r="I18" s="17">
        <f>F18+E18</f>
        <v>66.092</v>
      </c>
      <c r="J18" s="17">
        <f>AVERAGE(I15:I18)</f>
        <v>39.76275</v>
      </c>
      <c r="K18" s="17">
        <f>-(H18-D18)+K17</f>
        <v>58.331</v>
      </c>
    </row>
    <row r="19" ht="20.05" customHeight="1">
      <c r="B19" s="32"/>
      <c r="C19" s="16">
        <v>206.14</v>
      </c>
      <c r="D19" s="17"/>
      <c r="E19" s="17">
        <v>-3.1</v>
      </c>
      <c r="F19" s="17">
        <v>52.251</v>
      </c>
      <c r="G19" s="17">
        <v>-3.045</v>
      </c>
      <c r="H19" s="17">
        <v>-82.502</v>
      </c>
      <c r="I19" s="17">
        <f>F19+E19</f>
        <v>49.151</v>
      </c>
      <c r="J19" s="17">
        <f>AVERAGE(I16:I19)</f>
        <v>43.7695</v>
      </c>
      <c r="K19" s="17">
        <f>-(H19-D19)+K18</f>
        <v>140.833</v>
      </c>
    </row>
    <row r="20" ht="20.05" customHeight="1">
      <c r="B20" s="33">
        <v>2020</v>
      </c>
      <c r="C20" s="16">
        <v>216.089</v>
      </c>
      <c r="D20" s="20">
        <v>-1</v>
      </c>
      <c r="E20" s="17">
        <v>-6.6</v>
      </c>
      <c r="F20" s="17">
        <v>76.735</v>
      </c>
      <c r="G20" s="17">
        <v>-2.886</v>
      </c>
      <c r="H20" s="17">
        <v>-23.139</v>
      </c>
      <c r="I20" s="17">
        <f>F20+E20</f>
        <v>70.13500000000001</v>
      </c>
      <c r="J20" s="17">
        <f>AVERAGE(I17:I20)</f>
        <v>56.02225</v>
      </c>
      <c r="K20" s="17">
        <f>-(H20-D20)+K19</f>
        <v>162.972</v>
      </c>
    </row>
    <row r="21" ht="20.05" customHeight="1">
      <c r="B21" s="32"/>
      <c r="C21" s="16">
        <v>147.78</v>
      </c>
      <c r="D21" s="20">
        <v>-1</v>
      </c>
      <c r="E21" s="17">
        <v>-2</v>
      </c>
      <c r="F21" s="17">
        <v>25.493</v>
      </c>
      <c r="G21" s="17">
        <v>-1.667</v>
      </c>
      <c r="H21" s="17">
        <v>-0.859</v>
      </c>
      <c r="I21" s="17">
        <f>F21+E21</f>
        <v>23.493</v>
      </c>
      <c r="J21" s="17">
        <f>AVERAGE(I18:I21)</f>
        <v>52.21775</v>
      </c>
      <c r="K21" s="17">
        <f>-(H21-D21)+K20</f>
        <v>162.831</v>
      </c>
    </row>
    <row r="22" ht="20.05" customHeight="1">
      <c r="B22" s="32"/>
      <c r="C22" s="16">
        <v>148.131</v>
      </c>
      <c r="D22" s="20">
        <v>-1</v>
      </c>
      <c r="E22" s="17">
        <v>3</v>
      </c>
      <c r="F22" s="17">
        <v>62.772</v>
      </c>
      <c r="G22" s="17">
        <v>7.153</v>
      </c>
      <c r="H22" s="17">
        <v>0.998</v>
      </c>
      <c r="I22" s="17">
        <f>F22+E22</f>
        <v>65.77200000000001</v>
      </c>
      <c r="J22" s="17">
        <f>AVERAGE(I19:I22)</f>
        <v>52.13775</v>
      </c>
      <c r="K22" s="17">
        <f>-(H22-D22)+K21</f>
        <v>160.833</v>
      </c>
    </row>
    <row r="23" ht="20.05" customHeight="1">
      <c r="B23" s="32"/>
      <c r="C23" s="16">
        <v>176.1</v>
      </c>
      <c r="D23" s="20">
        <v>-1</v>
      </c>
      <c r="E23" s="17">
        <v>-4.5</v>
      </c>
      <c r="F23" s="17">
        <v>65.7</v>
      </c>
      <c r="G23" s="17">
        <v>-4.4</v>
      </c>
      <c r="H23" s="17">
        <v>3.4</v>
      </c>
      <c r="I23" s="17">
        <f>F23+E23</f>
        <v>61.2</v>
      </c>
      <c r="J23" s="17">
        <f>AVERAGE(I20:I23)</f>
        <v>55.15</v>
      </c>
      <c r="K23" s="17">
        <f>-(H23-D23)+K22</f>
        <v>156.433</v>
      </c>
    </row>
    <row r="24" ht="20.05" customHeight="1">
      <c r="B24" s="33">
        <v>2021</v>
      </c>
      <c r="C24" s="19">
        <v>193</v>
      </c>
      <c r="D24" s="20">
        <v>-1</v>
      </c>
      <c r="E24" s="17">
        <v>-1.3</v>
      </c>
      <c r="F24" s="20">
        <v>71</v>
      </c>
      <c r="G24" s="20">
        <v>-13</v>
      </c>
      <c r="H24" s="20">
        <v>-1</v>
      </c>
      <c r="I24" s="17">
        <f>F24+E24</f>
        <v>69.7</v>
      </c>
      <c r="J24" s="17">
        <f>AVERAGE(I21:I24)</f>
        <v>55.04125</v>
      </c>
      <c r="K24" s="17">
        <f>-(H24-D24)+K23</f>
        <v>156.433</v>
      </c>
    </row>
    <row r="25" ht="20.05" customHeight="1">
      <c r="B25" s="32"/>
      <c r="C25" s="36">
        <f>360.6-C24</f>
        <v>167.6</v>
      </c>
      <c r="D25" s="34">
        <f>-2.2+0.5-D24</f>
        <v>-0.7</v>
      </c>
      <c r="E25" s="17">
        <v>-68.40000000000001</v>
      </c>
      <c r="F25" s="34">
        <f>109.3-F24</f>
        <v>38.3</v>
      </c>
      <c r="G25" s="34">
        <f>-86.3-G24</f>
        <v>-73.3</v>
      </c>
      <c r="H25" s="34">
        <f>-1.7-H24</f>
        <v>-0.7</v>
      </c>
      <c r="I25" s="17">
        <f>F25+E25</f>
        <v>-30.1</v>
      </c>
      <c r="J25" s="17">
        <f>AVERAGE(I22:I25)</f>
        <v>41.643</v>
      </c>
      <c r="K25" s="17">
        <f>-(H25-D25)+K24</f>
        <v>156.433</v>
      </c>
    </row>
    <row r="26" ht="20.05" customHeight="1">
      <c r="B26" s="32"/>
      <c r="C26" s="36">
        <f>591.265-C25-C24</f>
        <v>230.665</v>
      </c>
      <c r="D26" s="34">
        <f>-3-D25-D24</f>
        <v>-1.3</v>
      </c>
      <c r="E26" s="17">
        <f>-87.263-E25-E24</f>
        <v>-17.563</v>
      </c>
      <c r="F26" s="34">
        <f>195.109-F25-F24</f>
        <v>85.809</v>
      </c>
      <c r="G26" s="34">
        <f>-109.759-G25-G24</f>
        <v>-23.459</v>
      </c>
      <c r="H26" s="34">
        <f>-2.89-H25-H24</f>
        <v>-1.19</v>
      </c>
      <c r="I26" s="17">
        <f>F26+E26</f>
        <v>68.246</v>
      </c>
      <c r="J26" s="17">
        <f>AVERAGE(I23:I26)</f>
        <v>42.2615</v>
      </c>
      <c r="K26" s="17">
        <f>-(H26-D26)+K25</f>
        <v>156.323</v>
      </c>
    </row>
    <row r="27" ht="20.05" customHeight="1">
      <c r="B27" s="32"/>
      <c r="C27" s="36"/>
      <c r="D27" s="34"/>
      <c r="E27" s="17"/>
      <c r="F27" s="34"/>
      <c r="G27" s="34"/>
      <c r="H27" s="34"/>
      <c r="I27" s="17"/>
      <c r="J27" s="17">
        <f>SUM('Model'!F9:F11)</f>
        <v>66.277272583301</v>
      </c>
      <c r="K27" s="17">
        <f>'Model'!F33</f>
        <v>392.447321954082</v>
      </c>
    </row>
  </sheetData>
  <mergeCells count="1">
    <mergeCell ref="B2:K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7" customWidth="1"/>
    <col min="2" max="2" width="8.58594" style="37" customWidth="1"/>
    <col min="3" max="11" width="9.39062" style="37" customWidth="1"/>
    <col min="12" max="16384" width="16.3516" style="37" customWidth="1"/>
  </cols>
  <sheetData>
    <row r="1" ht="35.7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26">
        <v>51</v>
      </c>
      <c r="C3" t="s" s="26">
        <v>52</v>
      </c>
      <c r="D3" t="s" s="26">
        <v>53</v>
      </c>
      <c r="E3" t="s" s="26">
        <v>23</v>
      </c>
      <c r="F3" t="s" s="26">
        <v>24</v>
      </c>
      <c r="G3" t="s" s="26">
        <v>12</v>
      </c>
      <c r="H3" t="s" s="26">
        <v>26</v>
      </c>
      <c r="I3" t="s" s="26">
        <v>27</v>
      </c>
      <c r="J3" t="s" s="26">
        <v>28</v>
      </c>
      <c r="K3" t="s" s="26">
        <v>36</v>
      </c>
    </row>
    <row r="4" ht="20.25" customHeight="1">
      <c r="B4" s="27">
        <v>2016</v>
      </c>
      <c r="C4" s="28">
        <v>21</v>
      </c>
      <c r="D4" s="30">
        <v>647</v>
      </c>
      <c r="E4" s="30">
        <f>D4-C4</f>
        <v>626</v>
      </c>
      <c r="F4" s="38"/>
      <c r="G4" s="30">
        <v>304</v>
      </c>
      <c r="H4" s="30">
        <v>343</v>
      </c>
      <c r="I4" s="30">
        <f>G4+H4-C4-E4</f>
        <v>0</v>
      </c>
      <c r="J4" s="30">
        <f>C4-G4</f>
        <v>-283</v>
      </c>
      <c r="K4" s="30"/>
    </row>
    <row r="5" ht="20.05" customHeight="1">
      <c r="B5" s="32"/>
      <c r="C5" s="16">
        <v>37</v>
      </c>
      <c r="D5" s="17">
        <v>755</v>
      </c>
      <c r="E5" s="17">
        <f>D5-C5</f>
        <v>718</v>
      </c>
      <c r="F5" s="34"/>
      <c r="G5" s="17">
        <v>404</v>
      </c>
      <c r="H5" s="17">
        <v>351</v>
      </c>
      <c r="I5" s="17">
        <f>G5+H5-C5-E5</f>
        <v>0</v>
      </c>
      <c r="J5" s="17">
        <f>C5-G5</f>
        <v>-367</v>
      </c>
      <c r="K5" s="17"/>
    </row>
    <row r="6" ht="20.05" customHeight="1">
      <c r="B6" s="32"/>
      <c r="C6" s="16">
        <v>36</v>
      </c>
      <c r="D6" s="17">
        <v>742</v>
      </c>
      <c r="E6" s="17">
        <f>D6-C6</f>
        <v>706</v>
      </c>
      <c r="F6" s="34"/>
      <c r="G6" s="17">
        <v>382</v>
      </c>
      <c r="H6" s="17">
        <v>360</v>
      </c>
      <c r="I6" s="17">
        <f>G6+H6-C6-E6</f>
        <v>0</v>
      </c>
      <c r="J6" s="17">
        <f>C6-G6</f>
        <v>-346</v>
      </c>
      <c r="K6" s="17"/>
    </row>
    <row r="7" ht="20.05" customHeight="1">
      <c r="B7" s="32"/>
      <c r="C7" s="16">
        <v>35</v>
      </c>
      <c r="D7" s="17">
        <v>767</v>
      </c>
      <c r="E7" s="17">
        <f>D7-C7</f>
        <v>732</v>
      </c>
      <c r="F7" s="34"/>
      <c r="G7" s="17">
        <v>383</v>
      </c>
      <c r="H7" s="17">
        <v>384</v>
      </c>
      <c r="I7" s="17">
        <f>G7+H7-C7-E7</f>
        <v>0</v>
      </c>
      <c r="J7" s="17">
        <f>C7-G7</f>
        <v>-348</v>
      </c>
      <c r="K7" s="17"/>
    </row>
    <row r="8" ht="20.05" customHeight="1">
      <c r="B8" s="33">
        <v>2017</v>
      </c>
      <c r="C8" s="16">
        <v>23</v>
      </c>
      <c r="D8" s="17">
        <v>784</v>
      </c>
      <c r="E8" s="17">
        <f>D8-C8</f>
        <v>761</v>
      </c>
      <c r="F8" s="34"/>
      <c r="G8" s="17">
        <v>389</v>
      </c>
      <c r="H8" s="17">
        <v>395</v>
      </c>
      <c r="I8" s="17">
        <f>G8+H8-C8-E8</f>
        <v>0</v>
      </c>
      <c r="J8" s="17">
        <f>C8-G8</f>
        <v>-366</v>
      </c>
      <c r="K8" s="17"/>
    </row>
    <row r="9" ht="20.05" customHeight="1">
      <c r="B9" s="32"/>
      <c r="C9" s="16">
        <v>35</v>
      </c>
      <c r="D9" s="17">
        <v>836</v>
      </c>
      <c r="E9" s="17">
        <f>D9-C9</f>
        <v>801</v>
      </c>
      <c r="F9" s="34"/>
      <c r="G9" s="17">
        <v>439</v>
      </c>
      <c r="H9" s="17">
        <v>397</v>
      </c>
      <c r="I9" s="17">
        <f>G9+H9-C9-E9</f>
        <v>0</v>
      </c>
      <c r="J9" s="17">
        <f>C9-G9</f>
        <v>-404</v>
      </c>
      <c r="K9" s="17"/>
    </row>
    <row r="10" ht="20.05" customHeight="1">
      <c r="B10" s="32"/>
      <c r="C10" s="16">
        <v>19</v>
      </c>
      <c r="D10" s="17">
        <v>800</v>
      </c>
      <c r="E10" s="17">
        <f>D10-C10</f>
        <v>781</v>
      </c>
      <c r="F10" s="34"/>
      <c r="G10" s="17">
        <v>392</v>
      </c>
      <c r="H10" s="17">
        <v>408</v>
      </c>
      <c r="I10" s="17">
        <f>G10+H10-C10-E10</f>
        <v>0</v>
      </c>
      <c r="J10" s="17">
        <f>C10-G10</f>
        <v>-373</v>
      </c>
      <c r="K10" s="17"/>
    </row>
    <row r="11" ht="20.05" customHeight="1">
      <c r="B11" s="32"/>
      <c r="C11" s="16">
        <v>25</v>
      </c>
      <c r="D11" s="17">
        <v>840</v>
      </c>
      <c r="E11" s="17">
        <f>D11-C11</f>
        <v>815</v>
      </c>
      <c r="F11" s="34"/>
      <c r="G11" s="17">
        <v>417</v>
      </c>
      <c r="H11" s="17">
        <v>423</v>
      </c>
      <c r="I11" s="17">
        <f>G11+H11-C11-E11</f>
        <v>0</v>
      </c>
      <c r="J11" s="17">
        <f>C11-G11</f>
        <v>-392</v>
      </c>
      <c r="K11" s="17"/>
    </row>
    <row r="12" ht="20.05" customHeight="1">
      <c r="B12" s="33">
        <v>2018</v>
      </c>
      <c r="C12" s="16">
        <v>50</v>
      </c>
      <c r="D12" s="17">
        <v>851</v>
      </c>
      <c r="E12" s="17">
        <f>D12-C12</f>
        <v>801</v>
      </c>
      <c r="F12" s="34"/>
      <c r="G12" s="17">
        <v>414</v>
      </c>
      <c r="H12" s="17">
        <v>437</v>
      </c>
      <c r="I12" s="17">
        <f>G12+H12-C12-E12</f>
        <v>0</v>
      </c>
      <c r="J12" s="17">
        <f>C12-G12</f>
        <v>-364</v>
      </c>
      <c r="K12" s="17"/>
    </row>
    <row r="13" ht="20.05" customHeight="1">
      <c r="B13" s="32"/>
      <c r="C13" s="16">
        <v>64</v>
      </c>
      <c r="D13" s="17">
        <v>863</v>
      </c>
      <c r="E13" s="17">
        <f>D13-C13</f>
        <v>799</v>
      </c>
      <c r="F13" s="34"/>
      <c r="G13" s="17">
        <v>418</v>
      </c>
      <c r="H13" s="17">
        <v>445</v>
      </c>
      <c r="I13" s="17">
        <f>G13+H13-C13-E13</f>
        <v>0</v>
      </c>
      <c r="J13" s="17">
        <f>C13-G13</f>
        <v>-354</v>
      </c>
      <c r="K13" s="17"/>
    </row>
    <row r="14" ht="20.05" customHeight="1">
      <c r="B14" s="32"/>
      <c r="C14" s="16">
        <v>91</v>
      </c>
      <c r="D14" s="17">
        <v>876</v>
      </c>
      <c r="E14" s="17">
        <f>D14-C14</f>
        <v>785</v>
      </c>
      <c r="F14" s="34"/>
      <c r="G14" s="17">
        <v>417</v>
      </c>
      <c r="H14" s="17">
        <v>459</v>
      </c>
      <c r="I14" s="17">
        <f>G14+H14-C14-E14</f>
        <v>0</v>
      </c>
      <c r="J14" s="17">
        <f>C14-G14</f>
        <v>-326</v>
      </c>
      <c r="K14" s="17"/>
    </row>
    <row r="15" ht="20.05" customHeight="1">
      <c r="B15" s="32"/>
      <c r="C15" s="16">
        <v>102</v>
      </c>
      <c r="D15" s="17">
        <v>881</v>
      </c>
      <c r="E15" s="17">
        <f>D15-C15</f>
        <v>779</v>
      </c>
      <c r="F15" s="34"/>
      <c r="G15" s="17">
        <v>399</v>
      </c>
      <c r="H15" s="17">
        <v>482</v>
      </c>
      <c r="I15" s="17">
        <f>G15+H15-C15-E15</f>
        <v>0</v>
      </c>
      <c r="J15" s="17">
        <f>C15-G15</f>
        <v>-297</v>
      </c>
      <c r="K15" s="17"/>
    </row>
    <row r="16" ht="20.05" customHeight="1">
      <c r="B16" s="33">
        <v>2019</v>
      </c>
      <c r="C16" s="16">
        <v>102</v>
      </c>
      <c r="D16" s="17">
        <v>866</v>
      </c>
      <c r="E16" s="17">
        <f>D16-C16</f>
        <v>764</v>
      </c>
      <c r="F16" s="34"/>
      <c r="G16" s="17">
        <v>367</v>
      </c>
      <c r="H16" s="17">
        <v>499</v>
      </c>
      <c r="I16" s="17">
        <f>G16+H16-C16-E16</f>
        <v>0</v>
      </c>
      <c r="J16" s="17">
        <f>C16-G16</f>
        <v>-265</v>
      </c>
      <c r="K16" s="17"/>
    </row>
    <row r="17" ht="20.05" customHeight="1">
      <c r="B17" s="32"/>
      <c r="C17" s="16">
        <v>119</v>
      </c>
      <c r="D17" s="17">
        <v>866</v>
      </c>
      <c r="E17" s="17">
        <f>D17-C17</f>
        <v>747</v>
      </c>
      <c r="F17" s="34"/>
      <c r="G17" s="17">
        <v>354</v>
      </c>
      <c r="H17" s="17">
        <v>512</v>
      </c>
      <c r="I17" s="17">
        <f>G17+H17-C17-E17</f>
        <v>0</v>
      </c>
      <c r="J17" s="17">
        <f>C17-G17</f>
        <v>-235</v>
      </c>
      <c r="K17" s="17"/>
    </row>
    <row r="18" ht="20.05" customHeight="1">
      <c r="B18" s="32"/>
      <c r="C18" s="16">
        <v>162</v>
      </c>
      <c r="D18" s="17">
        <v>882</v>
      </c>
      <c r="E18" s="17">
        <f>D18-C18</f>
        <v>720</v>
      </c>
      <c r="F18" s="34"/>
      <c r="G18" s="17">
        <v>353</v>
      </c>
      <c r="H18" s="17">
        <v>529</v>
      </c>
      <c r="I18" s="17">
        <f>G18+H18-C18-E18</f>
        <v>0</v>
      </c>
      <c r="J18" s="17">
        <f>C18-G18</f>
        <v>-191</v>
      </c>
      <c r="K18" s="34"/>
    </row>
    <row r="19" ht="20.05" customHeight="1">
      <c r="B19" s="32"/>
      <c r="C19" s="16">
        <v>129</v>
      </c>
      <c r="D19" s="17">
        <v>822</v>
      </c>
      <c r="E19" s="17">
        <f>D19-C19</f>
        <v>693</v>
      </c>
      <c r="F19" s="34"/>
      <c r="G19" s="17">
        <v>254</v>
      </c>
      <c r="H19" s="17">
        <v>568</v>
      </c>
      <c r="I19" s="17">
        <f>G19+H19-C19-E19</f>
        <v>0</v>
      </c>
      <c r="J19" s="17">
        <f>C19-G19</f>
        <v>-125</v>
      </c>
      <c r="K19" s="34"/>
    </row>
    <row r="20" ht="20.05" customHeight="1">
      <c r="B20" s="33">
        <v>2020</v>
      </c>
      <c r="C20" s="16">
        <v>180</v>
      </c>
      <c r="D20" s="17">
        <v>846</v>
      </c>
      <c r="E20" s="17">
        <f>D20-C20</f>
        <v>666</v>
      </c>
      <c r="F20" s="34"/>
      <c r="G20" s="17">
        <v>257</v>
      </c>
      <c r="H20" s="17">
        <v>589</v>
      </c>
      <c r="I20" s="17">
        <f>G20+H20-C20-E20</f>
        <v>0</v>
      </c>
      <c r="J20" s="17">
        <f>C20-G20</f>
        <v>-77</v>
      </c>
      <c r="K20" s="34"/>
    </row>
    <row r="21" ht="20.05" customHeight="1">
      <c r="B21" s="32"/>
      <c r="C21" s="16">
        <v>203</v>
      </c>
      <c r="D21" s="17">
        <v>818</v>
      </c>
      <c r="E21" s="17">
        <f>D21-C21</f>
        <v>615</v>
      </c>
      <c r="F21" s="17"/>
      <c r="G21" s="17">
        <v>210</v>
      </c>
      <c r="H21" s="17">
        <v>608</v>
      </c>
      <c r="I21" s="17">
        <f>G21+H21-C21-E21</f>
        <v>0</v>
      </c>
      <c r="J21" s="17">
        <f>C21-G21</f>
        <v>-7</v>
      </c>
      <c r="K21" s="34"/>
    </row>
    <row r="22" ht="20.05" customHeight="1">
      <c r="B22" s="32"/>
      <c r="C22" s="16">
        <v>273</v>
      </c>
      <c r="D22" s="34">
        <v>890</v>
      </c>
      <c r="E22" s="17">
        <f>D22-C22</f>
        <v>617</v>
      </c>
      <c r="F22" s="17"/>
      <c r="G22" s="17">
        <v>248</v>
      </c>
      <c r="H22" s="17">
        <v>642</v>
      </c>
      <c r="I22" s="17">
        <f>G22+H22-C22-E22</f>
        <v>0</v>
      </c>
      <c r="J22" s="17">
        <f>C22-G22</f>
        <v>25</v>
      </c>
      <c r="K22" s="34"/>
    </row>
    <row r="23" ht="20.05" customHeight="1">
      <c r="B23" s="32"/>
      <c r="C23" s="36">
        <v>338</v>
      </c>
      <c r="D23" s="34">
        <v>959</v>
      </c>
      <c r="E23" s="17">
        <f>D23-C23</f>
        <v>621</v>
      </c>
      <c r="F23" s="34">
        <f>8+396</f>
        <v>404</v>
      </c>
      <c r="G23" s="17">
        <v>259</v>
      </c>
      <c r="H23" s="17">
        <v>700</v>
      </c>
      <c r="I23" s="17">
        <f>G23+H23-C23-E23</f>
        <v>0</v>
      </c>
      <c r="J23" s="17">
        <f>C23-G23</f>
        <v>79</v>
      </c>
      <c r="K23" s="34"/>
    </row>
    <row r="24" ht="20.05" customHeight="1">
      <c r="B24" s="33">
        <v>2022</v>
      </c>
      <c r="C24" s="36">
        <v>396</v>
      </c>
      <c r="D24" s="34">
        <v>1017</v>
      </c>
      <c r="E24" s="17">
        <f>D24-C24</f>
        <v>621</v>
      </c>
      <c r="F24" s="34">
        <f>404+8</f>
        <v>412</v>
      </c>
      <c r="G24" s="17">
        <v>269</v>
      </c>
      <c r="H24" s="17">
        <v>748</v>
      </c>
      <c r="I24" s="17">
        <f>G24+H24-C24-E24</f>
        <v>0</v>
      </c>
      <c r="J24" s="17">
        <f>C24-G24</f>
        <v>127</v>
      </c>
      <c r="K24" s="34"/>
    </row>
    <row r="25" ht="20.05" customHeight="1">
      <c r="B25" s="32"/>
      <c r="C25" s="36">
        <v>360</v>
      </c>
      <c r="D25" s="34">
        <v>1065</v>
      </c>
      <c r="E25" s="17">
        <f>D25-C25</f>
        <v>705</v>
      </c>
      <c r="F25" s="34">
        <f>9+413</f>
        <v>422</v>
      </c>
      <c r="G25" s="17">
        <v>274</v>
      </c>
      <c r="H25" s="17">
        <v>791</v>
      </c>
      <c r="I25" s="17">
        <f>G25+H25-C25-E25</f>
        <v>0</v>
      </c>
      <c r="J25" s="17">
        <f>C25-G25</f>
        <v>86</v>
      </c>
      <c r="K25" s="34"/>
    </row>
    <row r="26" ht="20.05" customHeight="1">
      <c r="B26" s="32"/>
      <c r="C26" s="36">
        <v>421.169</v>
      </c>
      <c r="D26" s="34">
        <v>1149.089</v>
      </c>
      <c r="E26" s="17">
        <f>D26-C26</f>
        <v>727.92</v>
      </c>
      <c r="F26" s="34">
        <f>F25+'Sales'!E26</f>
        <v>430.44</v>
      </c>
      <c r="G26" s="17">
        <v>305.728</v>
      </c>
      <c r="H26" s="17">
        <v>843.361</v>
      </c>
      <c r="I26" s="17">
        <f>G26+H26-C26-E26</f>
        <v>0</v>
      </c>
      <c r="J26" s="17">
        <f>C26-G26</f>
        <v>115.441</v>
      </c>
      <c r="K26" s="34">
        <f>J26</f>
        <v>115.441</v>
      </c>
    </row>
    <row r="27" ht="20.05" customHeight="1">
      <c r="B27" s="32"/>
      <c r="C27" s="36"/>
      <c r="D27" s="34"/>
      <c r="E27" s="17"/>
      <c r="F27" s="34"/>
      <c r="G27" s="17"/>
      <c r="H27" s="17"/>
      <c r="I27" s="17"/>
      <c r="J27" s="17"/>
      <c r="K27" s="34">
        <f>'Model'!F31</f>
        <v>178.440792502721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9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3984" style="39" customWidth="1"/>
    <col min="2" max="2" width="11.0547" style="39" customWidth="1"/>
    <col min="3" max="4" width="9.13281" style="39" customWidth="1"/>
    <col min="5" max="16384" width="16.3516" style="39" customWidth="1"/>
  </cols>
  <sheetData>
    <row r="1" ht="11.5" customHeight="1"/>
    <row r="2" ht="27.65" customHeight="1">
      <c r="B2" t="s" s="2">
        <v>54</v>
      </c>
      <c r="C2" s="2"/>
      <c r="D2" s="2"/>
    </row>
    <row r="3" ht="20.25" customHeight="1">
      <c r="B3" s="40">
        <v>0.5898412698412701</v>
      </c>
      <c r="C3" t="s" s="26">
        <v>54</v>
      </c>
      <c r="D3" t="s" s="3">
        <v>39</v>
      </c>
    </row>
    <row r="4" ht="20.25" customHeight="1">
      <c r="B4" s="27">
        <v>2014</v>
      </c>
      <c r="C4" s="41">
        <v>2000</v>
      </c>
      <c r="D4" s="30"/>
    </row>
    <row r="5" ht="20.05" customHeight="1">
      <c r="B5" s="32"/>
      <c r="C5" s="42">
        <v>2080</v>
      </c>
      <c r="D5" s="17"/>
    </row>
    <row r="6" ht="20.05" customHeight="1">
      <c r="B6" s="32"/>
      <c r="C6" s="42">
        <v>2070</v>
      </c>
      <c r="D6" s="17"/>
    </row>
    <row r="7" ht="20.05" customHeight="1">
      <c r="B7" s="32"/>
      <c r="C7" s="42">
        <v>1935</v>
      </c>
      <c r="D7" s="17"/>
    </row>
    <row r="8" ht="20.05" customHeight="1">
      <c r="B8" s="32"/>
      <c r="C8" s="42">
        <v>1880</v>
      </c>
      <c r="D8" s="17"/>
    </row>
    <row r="9" ht="20.05" customHeight="1">
      <c r="B9" s="32"/>
      <c r="C9" s="42">
        <v>1565</v>
      </c>
      <c r="D9" s="17"/>
    </row>
    <row r="10" ht="20.05" customHeight="1">
      <c r="B10" s="32"/>
      <c r="C10" s="42">
        <v>1685</v>
      </c>
      <c r="D10" s="17"/>
    </row>
    <row r="11" ht="20.05" customHeight="1">
      <c r="B11" s="32"/>
      <c r="C11" s="42">
        <v>1665</v>
      </c>
      <c r="D11" s="17"/>
    </row>
    <row r="12" ht="20.05" customHeight="1">
      <c r="B12" s="32"/>
      <c r="C12" s="42">
        <v>1550</v>
      </c>
      <c r="D12" s="17"/>
    </row>
    <row r="13" ht="20.05" customHeight="1">
      <c r="B13" s="32"/>
      <c r="C13" s="42">
        <v>1375</v>
      </c>
      <c r="D13" s="17"/>
    </row>
    <row r="14" ht="20.05" customHeight="1">
      <c r="B14" s="32"/>
      <c r="C14" s="42">
        <v>1375</v>
      </c>
      <c r="D14" s="17"/>
    </row>
    <row r="15" ht="20.05" customHeight="1">
      <c r="B15" s="32"/>
      <c r="C15" s="42">
        <v>1375</v>
      </c>
      <c r="D15" s="17"/>
    </row>
    <row r="16" ht="20.05" customHeight="1">
      <c r="B16" s="33">
        <v>2015</v>
      </c>
      <c r="C16" s="42">
        <v>1370</v>
      </c>
      <c r="D16" s="17"/>
    </row>
    <row r="17" ht="20.05" customHeight="1">
      <c r="B17" s="32"/>
      <c r="C17" s="42">
        <v>1380</v>
      </c>
      <c r="D17" s="17"/>
    </row>
    <row r="18" ht="20.05" customHeight="1">
      <c r="B18" s="32"/>
      <c r="C18" s="42">
        <v>1375</v>
      </c>
      <c r="D18" s="17"/>
    </row>
    <row r="19" ht="20.05" customHeight="1">
      <c r="B19" s="32"/>
      <c r="C19" s="42">
        <v>1370</v>
      </c>
      <c r="D19" s="17"/>
    </row>
    <row r="20" ht="20.05" customHeight="1">
      <c r="B20" s="32"/>
      <c r="C20" s="42">
        <v>1405</v>
      </c>
      <c r="D20" s="17"/>
    </row>
    <row r="21" ht="20.05" customHeight="1">
      <c r="B21" s="32"/>
      <c r="C21" s="42">
        <v>1395</v>
      </c>
      <c r="D21" s="17"/>
    </row>
    <row r="22" ht="20.05" customHeight="1">
      <c r="B22" s="32"/>
      <c r="C22" s="42">
        <v>1400</v>
      </c>
      <c r="D22" s="17"/>
    </row>
    <row r="23" ht="20.05" customHeight="1">
      <c r="B23" s="32"/>
      <c r="C23" s="42">
        <v>1125</v>
      </c>
      <c r="D23" s="17"/>
    </row>
    <row r="24" ht="20.05" customHeight="1">
      <c r="B24" s="32"/>
      <c r="C24" s="42">
        <v>1060</v>
      </c>
      <c r="D24" s="17"/>
    </row>
    <row r="25" ht="20.05" customHeight="1">
      <c r="B25" s="32"/>
      <c r="C25" s="42">
        <v>1025</v>
      </c>
      <c r="D25" s="17"/>
    </row>
    <row r="26" ht="20.05" customHeight="1">
      <c r="B26" s="32"/>
      <c r="C26" s="42">
        <v>1165</v>
      </c>
      <c r="D26" s="17"/>
    </row>
    <row r="27" ht="20.05" customHeight="1">
      <c r="B27" s="32"/>
      <c r="C27" s="42">
        <v>1015</v>
      </c>
      <c r="D27" s="17"/>
    </row>
    <row r="28" ht="20.05" customHeight="1">
      <c r="B28" s="33">
        <v>2016</v>
      </c>
      <c r="C28" s="42">
        <v>1005</v>
      </c>
      <c r="D28" s="17"/>
    </row>
    <row r="29" ht="20.05" customHeight="1">
      <c r="B29" s="32"/>
      <c r="C29" s="42">
        <v>1035</v>
      </c>
      <c r="D29" s="17"/>
    </row>
    <row r="30" ht="20.05" customHeight="1">
      <c r="B30" s="32"/>
      <c r="C30" s="42">
        <v>1050</v>
      </c>
      <c r="D30" s="17"/>
    </row>
    <row r="31" ht="20.05" customHeight="1">
      <c r="B31" s="32"/>
      <c r="C31" s="42">
        <v>1035</v>
      </c>
      <c r="D31" s="17"/>
    </row>
    <row r="32" ht="20.05" customHeight="1">
      <c r="B32" s="32"/>
      <c r="C32" s="42">
        <v>1045</v>
      </c>
      <c r="D32" s="17"/>
    </row>
    <row r="33" ht="20.05" customHeight="1">
      <c r="B33" s="32"/>
      <c r="C33" s="42">
        <v>1290</v>
      </c>
      <c r="D33" s="17"/>
    </row>
    <row r="34" ht="20.05" customHeight="1">
      <c r="B34" s="32"/>
      <c r="C34" s="42">
        <v>1385</v>
      </c>
      <c r="D34" s="17"/>
    </row>
    <row r="35" ht="20.05" customHeight="1">
      <c r="B35" s="32"/>
      <c r="C35" s="42">
        <v>1380</v>
      </c>
      <c r="D35" s="17"/>
    </row>
    <row r="36" ht="20.05" customHeight="1">
      <c r="B36" s="32"/>
      <c r="C36" s="42">
        <v>1300</v>
      </c>
      <c r="D36" s="17"/>
    </row>
    <row r="37" ht="20.05" customHeight="1">
      <c r="B37" s="32"/>
      <c r="C37" s="42">
        <v>1205</v>
      </c>
      <c r="D37" s="17"/>
    </row>
    <row r="38" ht="20.05" customHeight="1">
      <c r="B38" s="32"/>
      <c r="C38" s="42">
        <v>1120</v>
      </c>
      <c r="D38" s="17"/>
    </row>
    <row r="39" ht="20.05" customHeight="1">
      <c r="B39" s="32"/>
      <c r="C39" s="42">
        <v>1000</v>
      </c>
      <c r="D39" s="17"/>
    </row>
    <row r="40" ht="20.05" customHeight="1">
      <c r="B40" s="33">
        <v>2017</v>
      </c>
      <c r="C40" s="42">
        <v>1055</v>
      </c>
      <c r="D40" s="17"/>
    </row>
    <row r="41" ht="20.05" customHeight="1">
      <c r="B41" s="32"/>
      <c r="C41" s="42">
        <v>1080</v>
      </c>
      <c r="D41" s="17"/>
    </row>
    <row r="42" ht="20.05" customHeight="1">
      <c r="B42" s="32"/>
      <c r="C42" s="42">
        <v>1170</v>
      </c>
      <c r="D42" s="17"/>
    </row>
    <row r="43" ht="20.05" customHeight="1">
      <c r="B43" s="32"/>
      <c r="C43" s="42">
        <v>1195</v>
      </c>
      <c r="D43" s="17"/>
    </row>
    <row r="44" ht="20.05" customHeight="1">
      <c r="B44" s="32"/>
      <c r="C44" s="42">
        <v>1070</v>
      </c>
      <c r="D44" s="17"/>
    </row>
    <row r="45" ht="20.05" customHeight="1">
      <c r="B45" s="32"/>
      <c r="C45" s="42">
        <v>1080</v>
      </c>
      <c r="D45" s="17"/>
    </row>
    <row r="46" ht="20.05" customHeight="1">
      <c r="B46" s="32"/>
      <c r="C46" s="43">
        <v>985</v>
      </c>
      <c r="D46" s="21"/>
    </row>
    <row r="47" ht="20.05" customHeight="1">
      <c r="B47" s="32"/>
      <c r="C47" s="42">
        <v>1020</v>
      </c>
      <c r="D47" s="21"/>
    </row>
    <row r="48" ht="20.05" customHeight="1">
      <c r="B48" s="32"/>
      <c r="C48" s="43">
        <v>980</v>
      </c>
      <c r="D48" s="21"/>
    </row>
    <row r="49" ht="20.05" customHeight="1">
      <c r="B49" s="32"/>
      <c r="C49" s="42">
        <v>1010</v>
      </c>
      <c r="D49" s="21"/>
    </row>
    <row r="50" ht="20.05" customHeight="1">
      <c r="B50" s="32"/>
      <c r="C50" s="43">
        <v>970</v>
      </c>
      <c r="D50" s="21"/>
    </row>
    <row r="51" ht="20.05" customHeight="1">
      <c r="B51" s="32"/>
      <c r="C51" s="43">
        <v>885</v>
      </c>
      <c r="D51" s="21"/>
    </row>
    <row r="52" ht="20.05" customHeight="1">
      <c r="B52" s="33">
        <v>2018</v>
      </c>
      <c r="C52" s="43">
        <v>910</v>
      </c>
      <c r="D52" s="21"/>
    </row>
    <row r="53" ht="20.05" customHeight="1">
      <c r="B53" s="32"/>
      <c r="C53" s="43">
        <v>930</v>
      </c>
      <c r="D53" s="21"/>
    </row>
    <row r="54" ht="20.05" customHeight="1">
      <c r="B54" s="32"/>
      <c r="C54" s="43">
        <v>910</v>
      </c>
      <c r="D54" s="21"/>
    </row>
    <row r="55" ht="20.05" customHeight="1">
      <c r="B55" s="32"/>
      <c r="C55" s="43">
        <v>910</v>
      </c>
      <c r="D55" s="21"/>
    </row>
    <row r="56" ht="20.05" customHeight="1">
      <c r="B56" s="32"/>
      <c r="C56" s="43">
        <v>935</v>
      </c>
      <c r="D56" s="21"/>
    </row>
    <row r="57" ht="20.05" customHeight="1">
      <c r="B57" s="32"/>
      <c r="C57" s="43">
        <v>950</v>
      </c>
      <c r="D57" s="21"/>
    </row>
    <row r="58" ht="20.05" customHeight="1">
      <c r="B58" s="32"/>
      <c r="C58" s="43">
        <v>935</v>
      </c>
      <c r="D58" s="21"/>
    </row>
    <row r="59" ht="20.05" customHeight="1">
      <c r="B59" s="32"/>
      <c r="C59" s="43">
        <v>910</v>
      </c>
      <c r="D59" s="21"/>
    </row>
    <row r="60" ht="20.05" customHeight="1">
      <c r="B60" s="32"/>
      <c r="C60" s="43">
        <v>920</v>
      </c>
      <c r="D60" s="21"/>
    </row>
    <row r="61" ht="20.05" customHeight="1">
      <c r="B61" s="32"/>
      <c r="C61" s="43">
        <v>890</v>
      </c>
      <c r="D61" s="21"/>
    </row>
    <row r="62" ht="20.05" customHeight="1">
      <c r="B62" s="32"/>
      <c r="C62" s="43">
        <v>910</v>
      </c>
      <c r="D62" s="21"/>
    </row>
    <row r="63" ht="20.05" customHeight="1">
      <c r="B63" s="32"/>
      <c r="C63" s="43">
        <v>920</v>
      </c>
      <c r="D63" s="21"/>
    </row>
    <row r="64" ht="20.05" customHeight="1">
      <c r="B64" s="33">
        <v>2019</v>
      </c>
      <c r="C64" s="42">
        <v>1070</v>
      </c>
      <c r="D64" s="21"/>
    </row>
    <row r="65" ht="20.05" customHeight="1">
      <c r="B65" s="32"/>
      <c r="C65" s="43">
        <v>985</v>
      </c>
      <c r="D65" s="21"/>
    </row>
    <row r="66" ht="20.05" customHeight="1">
      <c r="B66" s="32"/>
      <c r="C66" s="42">
        <v>1090</v>
      </c>
      <c r="D66" s="21"/>
    </row>
    <row r="67" ht="20.05" customHeight="1">
      <c r="B67" s="32"/>
      <c r="C67" s="42">
        <v>1090</v>
      </c>
      <c r="D67" s="21"/>
    </row>
    <row r="68" ht="20.05" customHeight="1">
      <c r="B68" s="32"/>
      <c r="C68" s="42">
        <v>1030</v>
      </c>
      <c r="D68" s="21"/>
    </row>
    <row r="69" ht="20.05" customHeight="1">
      <c r="B69" s="32"/>
      <c r="C69" s="42">
        <v>1090</v>
      </c>
      <c r="D69" s="21"/>
    </row>
    <row r="70" ht="20.05" customHeight="1">
      <c r="B70" s="32"/>
      <c r="C70" s="42">
        <v>1135</v>
      </c>
      <c r="D70" s="21"/>
    </row>
    <row r="71" ht="20.05" customHeight="1">
      <c r="B71" s="32"/>
      <c r="C71" s="42">
        <v>1085</v>
      </c>
      <c r="D71" s="21"/>
    </row>
    <row r="72" ht="20.05" customHeight="1">
      <c r="B72" s="32"/>
      <c r="C72" s="42">
        <v>1055</v>
      </c>
      <c r="D72" s="21"/>
    </row>
    <row r="73" ht="20.05" customHeight="1">
      <c r="B73" s="32"/>
      <c r="C73" s="42">
        <v>1080</v>
      </c>
      <c r="D73" s="21"/>
    </row>
    <row r="74" ht="20.05" customHeight="1">
      <c r="B74" s="32"/>
      <c r="C74" s="42">
        <v>1010</v>
      </c>
      <c r="D74" s="21"/>
    </row>
    <row r="75" ht="20.05" customHeight="1">
      <c r="B75" s="32"/>
      <c r="C75" s="42">
        <v>1045</v>
      </c>
      <c r="D75" s="21"/>
    </row>
    <row r="76" ht="20.05" customHeight="1">
      <c r="B76" s="33">
        <v>2020</v>
      </c>
      <c r="C76" s="43">
        <v>970</v>
      </c>
      <c r="D76" s="44"/>
    </row>
    <row r="77" ht="20.05" customHeight="1">
      <c r="B77" s="32"/>
      <c r="C77" s="43">
        <v>825</v>
      </c>
      <c r="D77" s="44"/>
    </row>
    <row r="78" ht="20.05" customHeight="1">
      <c r="B78" s="32"/>
      <c r="C78" s="43">
        <v>700</v>
      </c>
      <c r="D78" s="44"/>
    </row>
    <row r="79" ht="20.05" customHeight="1">
      <c r="B79" s="32"/>
      <c r="C79" s="43">
        <v>745</v>
      </c>
      <c r="D79" s="44"/>
    </row>
    <row r="80" ht="20.05" customHeight="1">
      <c r="B80" s="32"/>
      <c r="C80" s="43">
        <v>960</v>
      </c>
      <c r="D80" s="44"/>
    </row>
    <row r="81" ht="20.05" customHeight="1">
      <c r="B81" s="32"/>
      <c r="C81" s="43">
        <v>865</v>
      </c>
      <c r="D81" s="44"/>
    </row>
    <row r="82" ht="20.05" customHeight="1">
      <c r="B82" s="32"/>
      <c r="C82" s="36">
        <v>990</v>
      </c>
      <c r="D82" s="44"/>
    </row>
    <row r="83" ht="20.05" customHeight="1">
      <c r="B83" s="32"/>
      <c r="C83" s="36">
        <v>1225</v>
      </c>
      <c r="D83" s="44"/>
    </row>
    <row r="84" ht="20.05" customHeight="1">
      <c r="B84" s="32"/>
      <c r="C84" s="36">
        <v>1125</v>
      </c>
      <c r="D84" s="44"/>
    </row>
    <row r="85" ht="20.05" customHeight="1">
      <c r="B85" s="32"/>
      <c r="C85" s="36">
        <v>1165</v>
      </c>
      <c r="D85" s="44"/>
    </row>
    <row r="86" ht="20.05" customHeight="1">
      <c r="B86" s="32"/>
      <c r="C86" s="36">
        <v>1265</v>
      </c>
      <c r="D86" s="44"/>
    </row>
    <row r="87" ht="20.05" customHeight="1">
      <c r="B87" s="32"/>
      <c r="C87" s="36">
        <v>1530</v>
      </c>
      <c r="D87" s="44"/>
    </row>
    <row r="88" ht="20.05" customHeight="1">
      <c r="B88" s="33">
        <v>2021</v>
      </c>
      <c r="C88" s="16">
        <v>1470</v>
      </c>
      <c r="D88" s="21"/>
    </row>
    <row r="89" ht="20.05" customHeight="1">
      <c r="B89" s="32"/>
      <c r="C89" s="16">
        <v>1665</v>
      </c>
      <c r="D89" s="21"/>
    </row>
    <row r="90" ht="20.05" customHeight="1">
      <c r="B90" s="32"/>
      <c r="C90" s="16">
        <v>1670</v>
      </c>
      <c r="D90" s="21"/>
    </row>
    <row r="91" ht="20.05" customHeight="1">
      <c r="B91" s="32"/>
      <c r="C91" s="16">
        <v>1685</v>
      </c>
      <c r="D91" s="21"/>
    </row>
    <row r="92" ht="20.05" customHeight="1">
      <c r="B92" s="32"/>
      <c r="C92" s="16">
        <v>2000</v>
      </c>
      <c r="D92" s="21"/>
    </row>
    <row r="93" ht="20.05" customHeight="1">
      <c r="B93" s="32"/>
      <c r="C93" s="16">
        <v>1930</v>
      </c>
      <c r="D93" s="21"/>
    </row>
    <row r="94" ht="20.05" customHeight="1">
      <c r="B94" s="32"/>
      <c r="C94" s="16">
        <v>2410</v>
      </c>
      <c r="D94" s="21"/>
    </row>
    <row r="95" ht="20.05" customHeight="1">
      <c r="B95" s="32"/>
      <c r="C95" s="16">
        <v>3180</v>
      </c>
      <c r="D95" s="21"/>
    </row>
    <row r="96" ht="20.05" customHeight="1">
      <c r="B96" s="32"/>
      <c r="C96" s="16">
        <v>2680</v>
      </c>
      <c r="D96" s="21"/>
    </row>
    <row r="97" ht="20.05" customHeight="1">
      <c r="B97" s="32"/>
      <c r="C97" s="16">
        <v>2560</v>
      </c>
      <c r="D97" s="21"/>
    </row>
    <row r="98" ht="20.05" customHeight="1">
      <c r="B98" s="32"/>
      <c r="C98" s="16">
        <v>3020</v>
      </c>
      <c r="D98" s="17">
        <f>C98</f>
        <v>3020</v>
      </c>
    </row>
    <row r="99" ht="20.05" customHeight="1">
      <c r="B99" s="32"/>
      <c r="C99" s="16"/>
      <c r="D99" s="13">
        <f>'Model'!F43</f>
        <v>5626.823871508280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