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<sst xmlns="http://schemas.openxmlformats.org/spreadsheetml/2006/main" uniqueCount="58">
  <si>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</si>
  <si>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</si>
  <si>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2021</t>
  </si>
  <si>
    <t>Cashflow</t>
  </si>
  <si>
    <t>Growth</t>
  </si>
  <si>
    <t>Sales</t>
  </si>
  <si>
    <t>Cost ratio</t>
  </si>
  <si>
    <t xml:space="preserve">Cash costs 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</si>
  <si>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</si>
  <si>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</si>
  <si>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</si>
  <si>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</si>
  <si>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</si>
  <si>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>Equity</t>
  </si>
  <si>
    <t xml:space="preserve">Before revolver </t>
  </si>
  <si>
    <t xml:space="preserve">Revolver </t>
  </si>
  <si>
    <t xml:space="preserve">Beginning 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</si>
  <si>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</si>
  <si>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</si>
  <si>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</si>
  <si>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</si>
  <si>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</si>
  <si>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</si>
  <si>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</si>
  <si>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</si>
  <si>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</si>
  <si>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</si>
  <si>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</si>
  <si>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</si>
  <si>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</si>
  <si>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</si>
  <si>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</si>
  <si>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</si>
  <si>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</si>
  <si>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</si>
  <si>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</si>
  <si>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</si>
  <si>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</si>
  <si>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</si>
  <si>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>Target price</t>
  </si>
  <si>
    <t xml:space="preserve">Current price </t>
  </si>
  <si>
    <t xml:space="preserve">V target </t>
  </si>
  <si>
    <t xml:space="preserve">12 month growth </t>
  </si>
  <si>
    <t xml:space="preserve">Sales v forecast </t>
  </si>
  <si>
    <t xml:space="preserve">Sales growth </t>
  </si>
  <si>
    <t xml:space="preserve">Cost ratio </t>
  </si>
  <si>
    <t>Cashflow costs</t>
  </si>
  <si>
    <t xml:space="preserve">Receipts </t>
  </si>
  <si>
    <t>Finance</t>
  </si>
  <si>
    <t xml:space="preserve">Free cashflow </t>
  </si>
  <si>
    <t>Capital</t>
  </si>
  <si>
    <t>Cash</t>
  </si>
  <si>
    <t xml:space="preserve">Assets </t>
  </si>
  <si>
    <t xml:space="preserve">Other  assets </t>
  </si>
  <si>
    <t>Check</t>
  </si>
  <si>
    <t>ACES</t>
  </si>
  <si>
    <t>Share price</t>
  </si>
  <si>
    <t>Target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</si>
</sst>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577931</xdr:colOff>
      <xdr:row>1</xdr:row>
      <xdr:rowOff>267072</xdr:rowOff>
    </xdr:from>
    <xdr:to>
      <xdr:col>13</xdr:col>
      <xdr:colOff>352480</xdr:colOff>
      <xdr:row>46</xdr:row>
      <xdr:rowOff>143586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43531" y="514087"/>
          <a:ext cx="8486750" cy="114366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7969" style="1" customWidth="1"/>
    <col min="2" max="2" width="15.9922" style="1" customWidth="1"/>
    <col min="3" max="6" width="8.03125" style="1" customWidth="1"/>
    <col min="7" max="16384" width="16.3516" style="1" customWidth="1"/>
  </cols>
  <sheetData>
    <row r="1" ht="19.4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AVERAGE('Sales'!G27:G30)</f>
        <v>-0.0820274047797977</v>
      </c>
      <c r="D4" s="8"/>
      <c r="E4" s="8"/>
      <c r="F4" s="9">
        <f>AVERAGE(C5:F5)</f>
        <v>0.1575</v>
      </c>
    </row>
    <row r="5" ht="20.05" customHeight="1">
      <c r="B5" t="s" s="10">
        <v>4</v>
      </c>
      <c r="C5" s="11">
        <v>0.4</v>
      </c>
      <c r="D5" s="12">
        <v>-0.07000000000000001</v>
      </c>
      <c r="E5" s="12">
        <v>0.15</v>
      </c>
      <c r="F5" s="12">
        <v>0.15</v>
      </c>
    </row>
    <row r="6" ht="20.05" customHeight="1">
      <c r="B6" t="s" s="10">
        <v>5</v>
      </c>
      <c r="C6" s="13">
        <f>('Sales'!C30)*(1+C5)</f>
        <v>1786.12</v>
      </c>
      <c r="D6" s="14">
        <f>(C6)*(1+D5)</f>
        <v>1661.0916</v>
      </c>
      <c r="E6" s="14">
        <f>(D6)*(1+E5)</f>
        <v>1910.25534</v>
      </c>
      <c r="F6" s="14">
        <f>(E6)*(1+F5)</f>
        <v>2196.793641</v>
      </c>
    </row>
    <row r="7" ht="20.05" customHeight="1">
      <c r="B7" t="s" s="10">
        <v>6</v>
      </c>
      <c r="C7" s="15">
        <f>'Sales'!H24</f>
        <v>-0.8179969496695479</v>
      </c>
      <c r="D7" s="16">
        <f>C7</f>
        <v>-0.8179969496695479</v>
      </c>
      <c r="E7" s="16">
        <f>D7</f>
        <v>-0.8179969496695479</v>
      </c>
      <c r="F7" s="16">
        <f>E7</f>
        <v>-0.8179969496695479</v>
      </c>
    </row>
    <row r="8" ht="20.05" customHeight="1">
      <c r="B8" t="s" s="10">
        <v>7</v>
      </c>
      <c r="C8" s="17">
        <f>C7*C6</f>
        <v>-1461.040711743770</v>
      </c>
      <c r="D8" s="18">
        <f>D7*D6</f>
        <v>-1358.767861921710</v>
      </c>
      <c r="E8" s="18">
        <f>E7*E6</f>
        <v>-1562.583041209970</v>
      </c>
      <c r="F8" s="18">
        <f>F7*F6</f>
        <v>-1796.970497391460</v>
      </c>
    </row>
    <row r="9" ht="20.05" customHeight="1">
      <c r="B9" t="s" s="10">
        <v>8</v>
      </c>
      <c r="C9" s="17">
        <f>C6+C8</f>
        <v>325.079288256230</v>
      </c>
      <c r="D9" s="18">
        <f>D6+D8</f>
        <v>302.323738078290</v>
      </c>
      <c r="E9" s="18">
        <f>E6+E8</f>
        <v>347.672298790030</v>
      </c>
      <c r="F9" s="18">
        <f>F6+F8</f>
        <v>399.823143608540</v>
      </c>
    </row>
    <row r="10" ht="20.05" customHeight="1">
      <c r="B10" t="s" s="10">
        <v>9</v>
      </c>
      <c r="C10" s="17">
        <f>AVERAGE('Cashflow'!F30)</f>
        <v>-16.3</v>
      </c>
      <c r="D10" s="18">
        <f>C10</f>
        <v>-16.3</v>
      </c>
      <c r="E10" s="18">
        <f>D10</f>
        <v>-16.3</v>
      </c>
      <c r="F10" s="18">
        <f>E10</f>
        <v>-16.3</v>
      </c>
    </row>
    <row r="11" ht="20.05" customHeight="1">
      <c r="B11" t="s" s="10">
        <v>10</v>
      </c>
      <c r="C11" s="17">
        <f>'Cashflow'!D30</f>
        <v>-44.4</v>
      </c>
      <c r="D11" s="18">
        <f>C11</f>
        <v>-44.4</v>
      </c>
      <c r="E11" s="18">
        <f>D11</f>
        <v>-44.4</v>
      </c>
      <c r="F11" s="18">
        <f>E11</f>
        <v>-44.4</v>
      </c>
    </row>
    <row r="12" ht="20.05" customHeight="1">
      <c r="B12" t="s" s="10">
        <v>11</v>
      </c>
      <c r="C12" s="17">
        <f>C13+C14+C16</f>
        <v>-246.635501779361</v>
      </c>
      <c r="D12" s="18">
        <f>D13+D14+D16</f>
        <v>-225.881616654803</v>
      </c>
      <c r="E12" s="18">
        <f>E13+E14+E16</f>
        <v>-253.041859153021</v>
      </c>
      <c r="F12" s="18">
        <f>F13+F14+F16</f>
        <v>-285.192888025978</v>
      </c>
    </row>
    <row r="13" ht="20.05" customHeight="1">
      <c r="B13" t="s" s="10">
        <v>12</v>
      </c>
      <c r="C13" s="17">
        <f>-('Balance sheet'!G30)/20</f>
        <v>-96.5</v>
      </c>
      <c r="D13" s="18">
        <f>-C27/20</f>
        <v>-91.675</v>
      </c>
      <c r="E13" s="18">
        <f>-D27/20</f>
        <v>-87.09125</v>
      </c>
      <c r="F13" s="18">
        <f>-E27/20</f>
        <v>-82.7366875</v>
      </c>
    </row>
    <row r="14" ht="20.05" customHeight="1">
      <c r="B14" t="s" s="10">
        <v>13</v>
      </c>
      <c r="C14" s="17">
        <f>IF(C22&gt;0,-C22*0.7,0)</f>
        <v>-150.135501779361</v>
      </c>
      <c r="D14" s="18">
        <f>IF(D22&gt;0,-D22*0.7,0)</f>
        <v>-134.206616654803</v>
      </c>
      <c r="E14" s="18">
        <f>IF(E22&gt;0,-E22*0.7,0)</f>
        <v>-165.950609153021</v>
      </c>
      <c r="F14" s="18">
        <f>IF(F22&gt;0,-F22*0.7,0)</f>
        <v>-202.456200525978</v>
      </c>
    </row>
    <row r="15" ht="20.05" customHeight="1">
      <c r="B15" t="s" s="10">
        <v>14</v>
      </c>
      <c r="C15" s="17">
        <f>C9+C10+C13+C14</f>
        <v>62.143786476869</v>
      </c>
      <c r="D15" s="18">
        <f>D9+D10+D13+D14+D17</f>
        <v>1970.285907900360</v>
      </c>
      <c r="E15" s="18">
        <f>E9+E10+E13+E14+E17</f>
        <v>2048.616347537370</v>
      </c>
      <c r="F15" s="18">
        <f>F9+F10+F13+F14+F17</f>
        <v>2146.946603119930</v>
      </c>
    </row>
    <row r="16" ht="20.05" customHeight="1">
      <c r="B16" t="s" s="10">
        <v>15</v>
      </c>
      <c r="C16" s="17">
        <f>-MIN(0,C15)</f>
        <v>0</v>
      </c>
      <c r="D16" s="18">
        <f>-MIN(C28,D15)</f>
        <v>0</v>
      </c>
      <c r="E16" s="18">
        <f>-MIN(D28,E15)</f>
        <v>0</v>
      </c>
      <c r="F16" s="18">
        <f>-MIN(E28,F15)</f>
        <v>0</v>
      </c>
    </row>
    <row r="17" ht="20.05" customHeight="1">
      <c r="B17" t="s" s="10">
        <v>16</v>
      </c>
      <c r="C17" s="17">
        <f>'Balance sheet'!C30</f>
        <v>1848</v>
      </c>
      <c r="D17" s="18">
        <f>C19</f>
        <v>1910.143786476870</v>
      </c>
      <c r="E17" s="18">
        <f>D19</f>
        <v>1970.285907900360</v>
      </c>
      <c r="F17" s="18">
        <f>E19</f>
        <v>2048.616347537370</v>
      </c>
    </row>
    <row r="18" ht="20.05" customHeight="1">
      <c r="B18" t="s" s="10">
        <v>17</v>
      </c>
      <c r="C18" s="17">
        <f>C9+C10+C12</f>
        <v>62.143786476869</v>
      </c>
      <c r="D18" s="18">
        <f>D9+D10+D12</f>
        <v>60.142121423487</v>
      </c>
      <c r="E18" s="18">
        <f>E9+E10+E12</f>
        <v>78.33043963700899</v>
      </c>
      <c r="F18" s="18">
        <f>F9+F10+F12</f>
        <v>98.330255582562</v>
      </c>
    </row>
    <row r="19" ht="20.05" customHeight="1">
      <c r="B19" t="s" s="10">
        <v>18</v>
      </c>
      <c r="C19" s="17">
        <f>C17+C18</f>
        <v>1910.143786476870</v>
      </c>
      <c r="D19" s="18">
        <f>D17+D18</f>
        <v>1970.285907900360</v>
      </c>
      <c r="E19" s="18">
        <f>E17+E18</f>
        <v>2048.616347537370</v>
      </c>
      <c r="F19" s="18">
        <f>F17+F18</f>
        <v>2146.946603119930</v>
      </c>
    </row>
    <row r="20" ht="20.05" customHeight="1">
      <c r="B20" t="s" s="19">
        <v>19</v>
      </c>
      <c r="C20" s="20"/>
      <c r="D20" s="21"/>
      <c r="E20" s="18"/>
      <c r="F20" s="22"/>
    </row>
    <row r="21" ht="20.05" customHeight="1">
      <c r="B21" t="s" s="10">
        <v>20</v>
      </c>
      <c r="C21" s="17">
        <f>-AVERAGE('Sales'!E30)</f>
        <v>-110.6</v>
      </c>
      <c r="D21" s="18">
        <f>C21</f>
        <v>-110.6</v>
      </c>
      <c r="E21" s="18">
        <f>D21</f>
        <v>-110.6</v>
      </c>
      <c r="F21" s="18">
        <f>E21</f>
        <v>-110.6</v>
      </c>
    </row>
    <row r="22" ht="20.05" customHeight="1">
      <c r="B22" t="s" s="10">
        <v>21</v>
      </c>
      <c r="C22" s="17">
        <f>C6+C8+C21</f>
        <v>214.479288256230</v>
      </c>
      <c r="D22" s="18">
        <f>D6+D8+D21</f>
        <v>191.723738078290</v>
      </c>
      <c r="E22" s="18">
        <f>E6+E8+E21</f>
        <v>237.072298790030</v>
      </c>
      <c r="F22" s="18">
        <f>F6+F8+F21</f>
        <v>289.223143608540</v>
      </c>
    </row>
    <row r="23" ht="20.05" customHeight="1">
      <c r="B23" t="s" s="19">
        <v>22</v>
      </c>
      <c r="C23" s="20"/>
      <c r="D23" s="21"/>
      <c r="E23" s="18"/>
      <c r="F23" s="18"/>
    </row>
    <row r="24" ht="20.05" customHeight="1">
      <c r="B24" t="s" s="10">
        <v>23</v>
      </c>
      <c r="C24" s="17">
        <f>'Balance sheet'!E30+'Balance sheet'!F30-C10</f>
        <v>7039.3</v>
      </c>
      <c r="D24" s="18">
        <f>C24-D10</f>
        <v>7055.6</v>
      </c>
      <c r="E24" s="18">
        <f>D24-E10</f>
        <v>7071.9</v>
      </c>
      <c r="F24" s="18">
        <f>E24-F10</f>
        <v>7088.2</v>
      </c>
    </row>
    <row r="25" ht="20.05" customHeight="1">
      <c r="B25" t="s" s="10">
        <v>24</v>
      </c>
      <c r="C25" s="17">
        <f>'Balance sheet'!F30-C21</f>
        <v>2055.6</v>
      </c>
      <c r="D25" s="18">
        <f>C25-D21</f>
        <v>2166.2</v>
      </c>
      <c r="E25" s="18">
        <f>D25-E21</f>
        <v>2276.8</v>
      </c>
      <c r="F25" s="18">
        <f>E25-F21</f>
        <v>2387.4</v>
      </c>
    </row>
    <row r="26" ht="20.05" customHeight="1">
      <c r="B26" t="s" s="10">
        <v>25</v>
      </c>
      <c r="C26" s="17">
        <f>C24-C25</f>
        <v>4983.7</v>
      </c>
      <c r="D26" s="18">
        <f>D24-D25</f>
        <v>4889.4</v>
      </c>
      <c r="E26" s="18">
        <f>E24-E25</f>
        <v>4795.1</v>
      </c>
      <c r="F26" s="18">
        <f>F24-F25</f>
        <v>4700.8</v>
      </c>
    </row>
    <row r="27" ht="20.05" customHeight="1">
      <c r="B27" t="s" s="10">
        <v>12</v>
      </c>
      <c r="C27" s="17">
        <f>'Balance sheet'!G30+C13</f>
        <v>1833.5</v>
      </c>
      <c r="D27" s="18">
        <f>C27+D13</f>
        <v>1741.825</v>
      </c>
      <c r="E27" s="18">
        <f>D27+E13</f>
        <v>1654.73375</v>
      </c>
      <c r="F27" s="18">
        <f>E27+F13</f>
        <v>1571.9970625</v>
      </c>
    </row>
    <row r="28" ht="20.05" customHeight="1">
      <c r="B28" t="s" s="10">
        <v>15</v>
      </c>
      <c r="C28" s="17">
        <f>C16</f>
        <v>0</v>
      </c>
      <c r="D28" s="18">
        <f>C28+D16</f>
        <v>0</v>
      </c>
      <c r="E28" s="18">
        <f>D28+E16</f>
        <v>0</v>
      </c>
      <c r="F28" s="18">
        <f>E28+F16</f>
        <v>0</v>
      </c>
    </row>
    <row r="29" ht="20.05" customHeight="1">
      <c r="B29" t="s" s="10">
        <v>26</v>
      </c>
      <c r="C29" s="17">
        <f>'Balance sheet'!H30+C22+C14</f>
        <v>5060.343786476870</v>
      </c>
      <c r="D29" s="18">
        <f>C29+D22+D14</f>
        <v>5117.860907900360</v>
      </c>
      <c r="E29" s="18">
        <f>D29+E22+E14</f>
        <v>5188.982597537370</v>
      </c>
      <c r="F29" s="18">
        <f>E29+F22+F14</f>
        <v>5275.749540619930</v>
      </c>
    </row>
    <row r="30" ht="20.05" customHeight="1">
      <c r="B30" t="s" s="10">
        <v>27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05" customHeight="1">
      <c r="B31" t="s" s="10">
        <v>28</v>
      </c>
      <c r="C31" s="17">
        <f>C19-C27-C28</f>
        <v>76.64378647687001</v>
      </c>
      <c r="D31" s="18">
        <f>D19-D27-D28</f>
        <v>228.460907900360</v>
      </c>
      <c r="E31" s="18">
        <f>E19-E27-E28</f>
        <v>393.882597537370</v>
      </c>
      <c r="F31" s="18">
        <f>F19-F27-F28</f>
        <v>574.949540619930</v>
      </c>
    </row>
    <row r="32" ht="20.05" customHeight="1">
      <c r="B32" t="s" s="19">
        <v>29</v>
      </c>
      <c r="C32" s="17"/>
      <c r="D32" s="18"/>
      <c r="E32" s="18"/>
      <c r="F32" s="18"/>
    </row>
    <row r="33" ht="20.05" customHeight="1">
      <c r="B33" t="s" s="10">
        <v>30</v>
      </c>
      <c r="C33" s="17">
        <f>'Cashflow'!J30-(C12-C11)</f>
        <v>2410.6688351127</v>
      </c>
      <c r="D33" s="18">
        <f>C33-(D12-D11)</f>
        <v>2592.1504517675</v>
      </c>
      <c r="E33" s="18">
        <f>D33-(E12-E11)</f>
        <v>2800.792310920520</v>
      </c>
      <c r="F33" s="18">
        <f>E33-(F12-F11)</f>
        <v>3041.5851989465</v>
      </c>
    </row>
    <row r="34" ht="20.05" customHeight="1">
      <c r="B34" t="s" s="10">
        <v>31</v>
      </c>
      <c r="C34" s="17"/>
      <c r="D34" s="18"/>
      <c r="E34" s="18"/>
      <c r="F34" s="18">
        <v>25510</v>
      </c>
    </row>
    <row r="35" ht="20.05" customHeight="1">
      <c r="B35" t="s" s="10">
        <v>32</v>
      </c>
      <c r="C35" s="17"/>
      <c r="D35" s="18"/>
      <c r="E35" s="18"/>
      <c r="F35" s="23">
        <f>F34/(F19+F26)</f>
        <v>3.72531308158764</v>
      </c>
    </row>
    <row r="36" ht="20.05" customHeight="1">
      <c r="B36" t="s" s="10">
        <v>33</v>
      </c>
      <c r="C36" s="17"/>
      <c r="D36" s="18"/>
      <c r="E36" s="18"/>
      <c r="F36" s="16">
        <f>-(C14+D14+E14+F14)/F34</f>
        <v>0.0255879626857375</v>
      </c>
    </row>
    <row r="37" ht="20.05" customHeight="1">
      <c r="B37" t="s" s="10">
        <v>34</v>
      </c>
      <c r="C37" s="17"/>
      <c r="D37" s="18"/>
      <c r="E37" s="18"/>
      <c r="F37" s="18">
        <f>SUM(C9:F11)</f>
        <v>1132.098468733090</v>
      </c>
    </row>
    <row r="38" ht="20.05" customHeight="1">
      <c r="B38" t="s" s="10">
        <v>35</v>
      </c>
      <c r="C38" s="17"/>
      <c r="D38" s="18"/>
      <c r="E38" s="18"/>
      <c r="F38" s="18">
        <f>'Balance sheet'!E30/F37</f>
        <v>4.48547554850303</v>
      </c>
    </row>
    <row r="39" ht="20.05" customHeight="1">
      <c r="B39" t="s" s="10">
        <v>29</v>
      </c>
      <c r="C39" s="17"/>
      <c r="D39" s="18"/>
      <c r="E39" s="18"/>
      <c r="F39" s="18">
        <f>F34/F37</f>
        <v>22.5333755892699</v>
      </c>
    </row>
    <row r="40" ht="20.05" customHeight="1">
      <c r="B40" t="s" s="10">
        <v>36</v>
      </c>
      <c r="C40" s="17"/>
      <c r="D40" s="18"/>
      <c r="E40" s="18"/>
      <c r="F40" s="18">
        <v>32</v>
      </c>
    </row>
    <row r="41" ht="20.05" customHeight="1">
      <c r="B41" t="s" s="10">
        <v>37</v>
      </c>
      <c r="C41" s="17"/>
      <c r="D41" s="18"/>
      <c r="E41" s="18"/>
      <c r="F41" s="18">
        <f>F37*F40</f>
        <v>36227.1509994589</v>
      </c>
    </row>
    <row r="42" ht="20.05" customHeight="1">
      <c r="B42" t="s" s="10">
        <v>38</v>
      </c>
      <c r="C42" s="17"/>
      <c r="D42" s="18"/>
      <c r="E42" s="18"/>
      <c r="F42" s="18">
        <f>F34/F44</f>
        <v>17.1208053691275</v>
      </c>
    </row>
    <row r="43" ht="20.05" customHeight="1">
      <c r="B43" t="s" s="10">
        <v>39</v>
      </c>
      <c r="C43" s="17"/>
      <c r="D43" s="18"/>
      <c r="E43" s="18"/>
      <c r="F43" s="18">
        <f>F41/F42</f>
        <v>2115.9723633553</v>
      </c>
    </row>
    <row r="44" ht="20.05" customHeight="1">
      <c r="B44" t="s" s="10">
        <v>40</v>
      </c>
      <c r="C44" s="17"/>
      <c r="D44" s="18"/>
      <c r="E44" s="18"/>
      <c r="F44" s="18">
        <f>'Share price'!C98</f>
        <v>1490</v>
      </c>
    </row>
    <row r="45" ht="20.05" customHeight="1">
      <c r="B45" t="s" s="10">
        <v>41</v>
      </c>
      <c r="C45" s="17"/>
      <c r="D45" s="18"/>
      <c r="E45" s="18"/>
      <c r="F45" s="16">
        <f>F43/F44-1</f>
        <v>0.420115680104228</v>
      </c>
    </row>
    <row r="46" ht="20.05" customHeight="1">
      <c r="B46" t="s" s="10">
        <v>42</v>
      </c>
      <c r="C46" s="17"/>
      <c r="D46" s="18"/>
      <c r="E46" s="18"/>
      <c r="F46" s="16">
        <f>'Sales'!C30/'Sales'!C26-1</f>
        <v>-0.302460360852925</v>
      </c>
    </row>
    <row r="47" ht="20.05" customHeight="1">
      <c r="B47" t="s" s="10">
        <v>43</v>
      </c>
      <c r="C47" s="17"/>
      <c r="D47" s="18"/>
      <c r="E47" s="18"/>
      <c r="F47" s="16">
        <f>('Sales'!D22+'Sales'!D23+'Sales'!D24+'Sales'!D25+'Sales'!D26+'Sales'!D27+'Sales'!D28+'Sales'!D29+'Sales'!D30)/('Sales'!C22+'Sales'!C23+'Sales'!C24+'Sales'!C25+'Sales'!C26+'Sales'!C27+'Sales'!C28+'Sales'!C29+'Sales'!C30)-1</f>
        <v>0.106003051438535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97656" style="24" customWidth="1"/>
    <col min="2" max="2" width="9.78125" style="24" customWidth="1"/>
    <col min="3" max="9" width="10.7109" style="24" customWidth="1"/>
    <col min="10" max="16384" width="16.3516" style="24" customWidth="1"/>
  </cols>
  <sheetData>
    <row r="1" ht="83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</row>
    <row r="3" ht="32.25" customHeight="1">
      <c r="B3" t="s" s="4">
        <v>1</v>
      </c>
      <c r="C3" t="s" s="4">
        <v>5</v>
      </c>
      <c r="D3" t="s" s="4">
        <v>36</v>
      </c>
      <c r="E3" t="s" s="4">
        <v>24</v>
      </c>
      <c r="F3" t="s" s="4">
        <v>21</v>
      </c>
      <c r="G3" t="s" s="4">
        <v>44</v>
      </c>
      <c r="H3" t="s" s="4">
        <v>45</v>
      </c>
      <c r="I3" t="s" s="4">
        <v>46</v>
      </c>
    </row>
    <row r="4" ht="20.25" customHeight="1">
      <c r="B4" s="25">
        <v>2015</v>
      </c>
      <c r="C4" s="26">
        <v>1108</v>
      </c>
      <c r="D4" s="27"/>
      <c r="E4" s="27"/>
      <c r="F4" s="28">
        <v>125</v>
      </c>
      <c r="G4" s="9"/>
      <c r="H4" s="29">
        <f>(E4+F4-C4)/C4</f>
        <v>-0.887184115523466</v>
      </c>
      <c r="I4" s="9"/>
    </row>
    <row r="5" ht="20.05" customHeight="1">
      <c r="B5" s="30"/>
      <c r="C5" s="17">
        <v>1113</v>
      </c>
      <c r="D5" s="21"/>
      <c r="E5" s="21"/>
      <c r="F5" s="18">
        <v>121</v>
      </c>
      <c r="G5" s="12">
        <f>C5/C4-1</f>
        <v>0.00451263537906137</v>
      </c>
      <c r="H5" s="16">
        <f>(E5+F5-C5)/C5</f>
        <v>-0.891284815813118</v>
      </c>
      <c r="I5" s="12"/>
    </row>
    <row r="6" ht="20.05" customHeight="1">
      <c r="B6" s="30"/>
      <c r="C6" s="17">
        <v>1235</v>
      </c>
      <c r="D6" s="21"/>
      <c r="E6" s="21"/>
      <c r="F6" s="18">
        <v>144</v>
      </c>
      <c r="G6" s="12">
        <f>C6/C5-1</f>
        <v>0.109613656783468</v>
      </c>
      <c r="H6" s="16">
        <f>(E6+F6-C6)/C6</f>
        <v>-0.883400809716599</v>
      </c>
      <c r="I6" s="12"/>
    </row>
    <row r="7" ht="20.05" customHeight="1">
      <c r="B7" s="30"/>
      <c r="C7" s="17">
        <v>1287</v>
      </c>
      <c r="D7" s="21"/>
      <c r="E7" s="21"/>
      <c r="F7" s="18">
        <v>195</v>
      </c>
      <c r="G7" s="12">
        <f>C7/C6-1</f>
        <v>0.0421052631578947</v>
      </c>
      <c r="H7" s="16">
        <f>(E7+F7-C7)/C7</f>
        <v>-0.848484848484848</v>
      </c>
      <c r="I7" s="12"/>
    </row>
    <row r="8" ht="20.05" customHeight="1">
      <c r="B8" s="31">
        <v>2016</v>
      </c>
      <c r="C8" s="17">
        <v>1161</v>
      </c>
      <c r="D8" s="21"/>
      <c r="E8" s="18">
        <v>16</v>
      </c>
      <c r="F8" s="18">
        <v>137</v>
      </c>
      <c r="G8" s="12">
        <f>C8/C7-1</f>
        <v>-0.0979020979020979</v>
      </c>
      <c r="H8" s="16">
        <f>(E8+F8-C8)/C8</f>
        <v>-0.868217054263566</v>
      </c>
      <c r="I8" s="22"/>
    </row>
    <row r="9" ht="20.05" customHeight="1">
      <c r="B9" s="30"/>
      <c r="C9" s="17">
        <v>1177</v>
      </c>
      <c r="D9" s="21"/>
      <c r="E9" s="18">
        <v>21</v>
      </c>
      <c r="F9" s="18">
        <v>96</v>
      </c>
      <c r="G9" s="12">
        <f>C9/C8-1</f>
        <v>0.0137812230835487</v>
      </c>
      <c r="H9" s="16">
        <f>(E9+F9-C9)/C9</f>
        <v>-0.900594732370433</v>
      </c>
      <c r="I9" s="22"/>
    </row>
    <row r="10" ht="20.05" customHeight="1">
      <c r="B10" s="30"/>
      <c r="C10" s="17">
        <v>1213</v>
      </c>
      <c r="D10" s="21"/>
      <c r="E10" s="18">
        <v>17</v>
      </c>
      <c r="F10" s="18">
        <v>237</v>
      </c>
      <c r="G10" s="12">
        <f>C10/C9-1</f>
        <v>0.0305862361937128</v>
      </c>
      <c r="H10" s="16">
        <f>(E10+F10-C10)/C10</f>
        <v>-0.790601813685078</v>
      </c>
      <c r="I10" s="22"/>
    </row>
    <row r="11" ht="20.05" customHeight="1">
      <c r="B11" s="30"/>
      <c r="C11" s="17">
        <v>1385</v>
      </c>
      <c r="D11" s="21"/>
      <c r="E11" s="18">
        <v>17</v>
      </c>
      <c r="F11" s="18">
        <v>236</v>
      </c>
      <c r="G11" s="12">
        <f>C11/C10-1</f>
        <v>0.141797197032152</v>
      </c>
      <c r="H11" s="16">
        <f>(E11+F11-C11)/C11</f>
        <v>-0.817328519855596</v>
      </c>
      <c r="I11" s="22"/>
    </row>
    <row r="12" ht="20.05" customHeight="1">
      <c r="B12" s="31">
        <v>2017</v>
      </c>
      <c r="C12" s="17">
        <v>1295</v>
      </c>
      <c r="D12" s="21"/>
      <c r="E12" s="18">
        <v>17.3</v>
      </c>
      <c r="F12" s="18">
        <v>153</v>
      </c>
      <c r="G12" s="12">
        <f>C12/C11-1</f>
        <v>-0.0649819494584838</v>
      </c>
      <c r="H12" s="16">
        <f>(E12+F12-C12)/C12</f>
        <v>-0.868494208494208</v>
      </c>
      <c r="I12" s="22"/>
    </row>
    <row r="13" ht="20.05" customHeight="1">
      <c r="B13" s="30"/>
      <c r="C13" s="17">
        <v>1465</v>
      </c>
      <c r="D13" s="21"/>
      <c r="E13" s="18">
        <v>16.3</v>
      </c>
      <c r="F13" s="18">
        <v>174</v>
      </c>
      <c r="G13" s="12">
        <f>C13/C12-1</f>
        <v>0.131274131274131</v>
      </c>
      <c r="H13" s="16">
        <f>(E13+F13-C13)/C13</f>
        <v>-0.870102389078498</v>
      </c>
      <c r="I13" s="22"/>
    </row>
    <row r="14" ht="20.05" customHeight="1">
      <c r="B14" s="30"/>
      <c r="C14" s="17">
        <v>1463</v>
      </c>
      <c r="D14" s="21"/>
      <c r="E14" s="18">
        <v>19.4</v>
      </c>
      <c r="F14" s="18">
        <v>200</v>
      </c>
      <c r="G14" s="12">
        <f>C14/C13-1</f>
        <v>-0.00136518771331058</v>
      </c>
      <c r="H14" s="16">
        <f>(E14+F14-C14)/C14</f>
        <v>-0.850034176349966</v>
      </c>
      <c r="I14" s="22"/>
    </row>
    <row r="15" ht="20.05" customHeight="1">
      <c r="B15" s="30"/>
      <c r="C15" s="17">
        <v>1716</v>
      </c>
      <c r="D15" s="21"/>
      <c r="E15" s="18">
        <v>23</v>
      </c>
      <c r="F15" s="18">
        <v>254</v>
      </c>
      <c r="G15" s="12">
        <f>C15/C14-1</f>
        <v>0.172932330827068</v>
      </c>
      <c r="H15" s="16">
        <f>(E15+F15-C15)/C15</f>
        <v>-0.838578088578089</v>
      </c>
      <c r="I15" s="22"/>
    </row>
    <row r="16" ht="20.05" customHeight="1">
      <c r="B16" s="31">
        <v>2018</v>
      </c>
      <c r="C16" s="17">
        <v>1574</v>
      </c>
      <c r="D16" s="21"/>
      <c r="E16" s="18">
        <v>22</v>
      </c>
      <c r="F16" s="18">
        <v>210</v>
      </c>
      <c r="G16" s="12">
        <f>C16/C15-1</f>
        <v>-0.08275058275058279</v>
      </c>
      <c r="H16" s="16">
        <f>(E16+F16-C16)/C16</f>
        <v>-0.852604828462516</v>
      </c>
      <c r="I16" s="16">
        <f>('Cashflow'!E16-'Cashflow'!C16)/'Cashflow'!C16</f>
        <v>-0.932713347921225</v>
      </c>
    </row>
    <row r="17" ht="20.05" customHeight="1">
      <c r="B17" s="30"/>
      <c r="C17" s="17">
        <v>1811</v>
      </c>
      <c r="D17" s="21"/>
      <c r="E17" s="18">
        <v>23</v>
      </c>
      <c r="F17" s="18">
        <v>220</v>
      </c>
      <c r="G17" s="12">
        <f>C17/C16-1</f>
        <v>0.150571791613723</v>
      </c>
      <c r="H17" s="16">
        <f>(E17+F17-C17)/C17</f>
        <v>-0.865819988956378</v>
      </c>
      <c r="I17" s="16">
        <f>('Cashflow'!E17-'Cashflow'!C17)/'Cashflow'!C17</f>
        <v>-0.889048302247728</v>
      </c>
    </row>
    <row r="18" ht="20.05" customHeight="1">
      <c r="B18" s="30"/>
      <c r="C18" s="17">
        <v>1778</v>
      </c>
      <c r="D18" s="21"/>
      <c r="E18" s="18">
        <v>24</v>
      </c>
      <c r="F18" s="18">
        <v>274</v>
      </c>
      <c r="G18" s="12">
        <f>C18/C17-1</f>
        <v>-0.0182219768083932</v>
      </c>
      <c r="H18" s="16">
        <f>(E18+F18-C18)/C18</f>
        <v>-0.832395950506187</v>
      </c>
      <c r="I18" s="16">
        <f>('Cashflow'!E18-'Cashflow'!C18)/'Cashflow'!C18</f>
        <v>-1.14306784660767</v>
      </c>
    </row>
    <row r="19" ht="20.05" customHeight="1">
      <c r="B19" s="30"/>
      <c r="C19" s="17">
        <v>2076</v>
      </c>
      <c r="D19" s="21"/>
      <c r="E19" s="18">
        <v>27</v>
      </c>
      <c r="F19" s="18">
        <v>272</v>
      </c>
      <c r="G19" s="12">
        <f>C19/C18-1</f>
        <v>0.167604049493813</v>
      </c>
      <c r="H19" s="16">
        <f>(E19+F19-C19)/C19</f>
        <v>-0.85597302504817</v>
      </c>
      <c r="I19" s="16">
        <f>('Cashflow'!E19-'Cashflow'!C19)/'Cashflow'!C19</f>
        <v>-0.909829237817576</v>
      </c>
    </row>
    <row r="20" ht="20.05" customHeight="1">
      <c r="B20" s="31">
        <v>2019</v>
      </c>
      <c r="C20" s="17">
        <v>1882</v>
      </c>
      <c r="D20" s="21"/>
      <c r="E20" s="18">
        <v>97</v>
      </c>
      <c r="F20" s="18">
        <v>239</v>
      </c>
      <c r="G20" s="12">
        <f>C20/C19-1</f>
        <v>-0.09344894026974949</v>
      </c>
      <c r="H20" s="16">
        <f>(E20+F20-C20)/C20</f>
        <v>-0.821466524973433</v>
      </c>
      <c r="I20" s="16">
        <f>('Cashflow'!E20-'Cashflow'!C20)/'Cashflow'!C20</f>
        <v>-0.943537097526832</v>
      </c>
    </row>
    <row r="21" ht="20.05" customHeight="1">
      <c r="B21" s="30"/>
      <c r="C21" s="17">
        <v>2080</v>
      </c>
      <c r="D21" s="18"/>
      <c r="E21" s="18">
        <v>-40</v>
      </c>
      <c r="F21" s="18">
        <v>241</v>
      </c>
      <c r="G21" s="12">
        <f>C21/C20-1</f>
        <v>0.105207226354942</v>
      </c>
      <c r="H21" s="16">
        <f>(E21+F21-C21)/C21</f>
        <v>-0.903365384615385</v>
      </c>
      <c r="I21" s="16">
        <f>('Cashflow'!E21-'Cashflow'!C21)/'Cashflow'!C21</f>
        <v>-0.888794926004228</v>
      </c>
    </row>
    <row r="22" ht="20.05" customHeight="1">
      <c r="B22" s="30"/>
      <c r="C22" s="17">
        <v>2012</v>
      </c>
      <c r="D22" s="18">
        <v>2062.48</v>
      </c>
      <c r="E22" s="18">
        <v>25</v>
      </c>
      <c r="F22" s="18">
        <v>253</v>
      </c>
      <c r="G22" s="12">
        <f>C22/C21-1</f>
        <v>-0.0326923076923077</v>
      </c>
      <c r="H22" s="16">
        <f>(E22+F22-C22)/C22</f>
        <v>-0.86182902584493</v>
      </c>
      <c r="I22" s="16">
        <f>('Cashflow'!E22-'Cashflow'!C22)/'Cashflow'!C22</f>
        <v>-0.878646934460888</v>
      </c>
    </row>
    <row r="23" ht="20.05" customHeight="1">
      <c r="B23" s="30"/>
      <c r="C23" s="17">
        <v>2169</v>
      </c>
      <c r="D23" s="18">
        <v>2428.92</v>
      </c>
      <c r="E23" s="18">
        <v>34</v>
      </c>
      <c r="F23" s="18">
        <v>304</v>
      </c>
      <c r="G23" s="12">
        <f>C23/C22-1</f>
        <v>0.07803180914512919</v>
      </c>
      <c r="H23" s="16">
        <f>(E23+F23-C23)/C23</f>
        <v>-0.844167819271554</v>
      </c>
      <c r="I23" s="16">
        <f>('Cashflow'!E23-'Cashflow'!C23)/'Cashflow'!C23</f>
        <v>-0.804834198961247</v>
      </c>
    </row>
    <row r="24" ht="20.05" customHeight="1">
      <c r="B24" s="31">
        <v>2020</v>
      </c>
      <c r="C24" s="17">
        <v>1967</v>
      </c>
      <c r="D24" s="18">
        <v>1915</v>
      </c>
      <c r="E24" s="18">
        <v>114</v>
      </c>
      <c r="F24" s="18">
        <v>244</v>
      </c>
      <c r="G24" s="12">
        <f>C24/C23-1</f>
        <v>-0.09313047487321351</v>
      </c>
      <c r="H24" s="16">
        <f>(E24+F24-C24)/C24</f>
        <v>-0.8179969496695479</v>
      </c>
      <c r="I24" s="16">
        <f>('Cashflow'!E24-'Cashflow'!C24)/'Cashflow'!C24</f>
        <v>-0.8270386266094421</v>
      </c>
    </row>
    <row r="25" ht="20.05" customHeight="1">
      <c r="B25" s="30"/>
      <c r="C25" s="17">
        <v>1684</v>
      </c>
      <c r="D25" s="18">
        <v>1840.92</v>
      </c>
      <c r="E25" s="18">
        <v>117</v>
      </c>
      <c r="F25" s="18">
        <v>110</v>
      </c>
      <c r="G25" s="12">
        <f>C25/C24-1</f>
        <v>-0.143873919674631</v>
      </c>
      <c r="H25" s="16">
        <f>(E25+F25-C25)/C25</f>
        <v>-0.86520190023753</v>
      </c>
      <c r="I25" s="16">
        <f>('Cashflow'!E25-'Cashflow'!C25)/'Cashflow'!C25</f>
        <v>-0.904786680541103</v>
      </c>
    </row>
    <row r="26" ht="20.05" customHeight="1">
      <c r="B26" s="30"/>
      <c r="C26" s="17">
        <v>1829</v>
      </c>
      <c r="D26" s="18">
        <v>1871.16</v>
      </c>
      <c r="E26" s="18">
        <v>114</v>
      </c>
      <c r="F26" s="18">
        <v>169</v>
      </c>
      <c r="G26" s="12">
        <f>C26/C25-1</f>
        <v>0.086104513064133</v>
      </c>
      <c r="H26" s="16">
        <f>(E26+F26-C26)/C26</f>
        <v>-0.845270639693822</v>
      </c>
      <c r="I26" s="16">
        <f>('Cashflow'!E26-'Cashflow'!C26)/'Cashflow'!C26</f>
        <v>-0.8056737588652479</v>
      </c>
    </row>
    <row r="27" ht="20.05" customHeight="1">
      <c r="B27" s="30"/>
      <c r="C27" s="17">
        <f>7275.8-SUM(C24:C26)</f>
        <v>1795.8</v>
      </c>
      <c r="D27" s="18">
        <v>2103.35</v>
      </c>
      <c r="E27" s="18">
        <f>309.9+123.1+15.3-SUM(E24:E26)</f>
        <v>103.3</v>
      </c>
      <c r="F27" s="18">
        <f>731.3-SUM(F24:F26)</f>
        <v>208.3</v>
      </c>
      <c r="G27" s="12">
        <f>C27/C26-1</f>
        <v>-0.0181519956260252</v>
      </c>
      <c r="H27" s="16">
        <f>(E27+F27-C27)/C27</f>
        <v>-0.82648401826484</v>
      </c>
      <c r="I27" s="16">
        <f>('Cashflow'!E27-'Cashflow'!C27)/'Cashflow'!C27</f>
        <v>-0.746868573565152</v>
      </c>
    </row>
    <row r="28" ht="20.05" customHeight="1">
      <c r="B28" s="31">
        <v>2021</v>
      </c>
      <c r="C28" s="17">
        <v>1681.7</v>
      </c>
      <c r="D28" s="18">
        <v>1977.149</v>
      </c>
      <c r="E28" s="18">
        <f>78.5+3.8+32.9+0.6</f>
        <v>115.8</v>
      </c>
      <c r="F28" s="18">
        <v>163.4</v>
      </c>
      <c r="G28" s="12">
        <f>C28/C27-1</f>
        <v>-0.06353714222073729</v>
      </c>
      <c r="H28" s="16">
        <f>(E28+F28-C28)/C28</f>
        <v>-0.833977522744842</v>
      </c>
      <c r="I28" s="16">
        <f>('Cashflow'!E28-'Cashflow'!C28)/'Cashflow'!C28</f>
        <v>-0.8536755197453501</v>
      </c>
    </row>
    <row r="29" ht="20.05" customHeight="1">
      <c r="B29" s="30"/>
      <c r="C29" s="17">
        <f>3325.4-C28</f>
        <v>1643.7</v>
      </c>
      <c r="D29" s="18">
        <v>1933.955</v>
      </c>
      <c r="E29" s="32">
        <f>155.1+66+7.6+1-E28</f>
        <v>113.9</v>
      </c>
      <c r="F29" s="18">
        <f>280-F28</f>
        <v>116.6</v>
      </c>
      <c r="G29" s="12">
        <f>C29/C28-1</f>
        <v>-0.0225961824344413</v>
      </c>
      <c r="H29" s="16">
        <f>(E29+F29-C29)/C29</f>
        <v>-0.85976759749346</v>
      </c>
      <c r="I29" s="16">
        <f>('Cashflow'!E29-'Cashflow'!C29)/'Cashflow'!C29</f>
        <v>-1.03405481995407</v>
      </c>
    </row>
    <row r="30" ht="20.05" customHeight="1">
      <c r="B30" s="30"/>
      <c r="C30" s="17">
        <f>4601.2-SUM(C28:C29)</f>
        <v>1275.8</v>
      </c>
      <c r="D30" s="14">
        <v>1627.263</v>
      </c>
      <c r="E30" s="18">
        <f>228.4+98.9+11.5+1.5-SUM(E28:E29)</f>
        <v>110.6</v>
      </c>
      <c r="F30" s="18">
        <f>323.8-SUM(F28:F29)</f>
        <v>43.8</v>
      </c>
      <c r="G30" s="12">
        <f>C30/C29-1</f>
        <v>-0.223824298837987</v>
      </c>
      <c r="H30" s="16">
        <f>(E30+F30-C30)/C30</f>
        <v>-0.878977896221978</v>
      </c>
      <c r="I30" s="16">
        <f>('Cashflow'!E30-'Cashflow'!C30)/'Cashflow'!C30</f>
        <v>-0.935261431344982</v>
      </c>
    </row>
    <row r="31" ht="20.05" customHeight="1">
      <c r="B31" s="30"/>
      <c r="C31" s="17"/>
      <c r="D31" s="14">
        <f>'Model'!C6</f>
        <v>1786.12</v>
      </c>
      <c r="E31" s="21"/>
      <c r="F31" s="21"/>
      <c r="G31" s="12"/>
      <c r="H31" s="16">
        <f>'Model'!C7</f>
        <v>-0.8179969496695479</v>
      </c>
      <c r="I31" s="16"/>
    </row>
    <row r="32" ht="20.05" customHeight="1">
      <c r="B32" s="31">
        <v>2022</v>
      </c>
      <c r="C32" s="17"/>
      <c r="D32" s="18">
        <f>'Model'!D6</f>
        <v>1661.0916</v>
      </c>
      <c r="E32" s="21"/>
      <c r="F32" s="21"/>
      <c r="G32" s="12"/>
      <c r="H32" s="16"/>
      <c r="I32" s="16"/>
    </row>
    <row r="33" ht="20.05" customHeight="1">
      <c r="B33" s="30"/>
      <c r="C33" s="17"/>
      <c r="D33" s="18">
        <f>'Model'!E6</f>
        <v>1910.25534</v>
      </c>
      <c r="E33" s="21"/>
      <c r="F33" s="21"/>
      <c r="G33" s="12"/>
      <c r="H33" s="16"/>
      <c r="I33" s="16"/>
    </row>
    <row r="34" ht="20.05" customHeight="1">
      <c r="B34" s="30"/>
      <c r="C34" s="17"/>
      <c r="D34" s="18">
        <f>'Model'!F6</f>
        <v>2196.793641</v>
      </c>
      <c r="E34" s="21"/>
      <c r="F34" s="21"/>
      <c r="G34" s="12"/>
      <c r="H34" s="16"/>
      <c r="I34" s="16"/>
    </row>
  </sheetData>
  <mergeCells count="1">
    <mergeCell ref="B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9844" style="33" customWidth="1"/>
    <col min="2" max="2" width="9.53906" style="33" customWidth="1"/>
    <col min="3" max="10" width="10.3359" style="33" customWidth="1"/>
    <col min="11" max="16384" width="16.3516" style="33" customWidth="1"/>
  </cols>
  <sheetData>
    <row r="1" ht="17.4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47</v>
      </c>
      <c r="D3" t="s" s="4">
        <v>10</v>
      </c>
      <c r="E3" t="s" s="4">
        <v>8</v>
      </c>
      <c r="F3" t="s" s="4">
        <v>9</v>
      </c>
      <c r="G3" t="s" s="4">
        <v>48</v>
      </c>
      <c r="H3" t="s" s="4">
        <v>49</v>
      </c>
      <c r="I3" t="s" s="4">
        <v>3</v>
      </c>
      <c r="J3" t="s" s="4">
        <v>50</v>
      </c>
    </row>
    <row r="4" ht="20.25" customHeight="1">
      <c r="B4" s="25">
        <v>2015</v>
      </c>
      <c r="C4" s="26">
        <v>1252</v>
      </c>
      <c r="D4" s="28"/>
      <c r="E4" s="28">
        <v>50</v>
      </c>
      <c r="F4" s="28">
        <v>-32</v>
      </c>
      <c r="G4" s="28">
        <v>5.8</v>
      </c>
      <c r="H4" s="28">
        <f>D4+E4+F4</f>
        <v>18</v>
      </c>
      <c r="I4" s="28"/>
      <c r="J4" s="28">
        <f>-(G4-D4)</f>
        <v>-5.8</v>
      </c>
    </row>
    <row r="5" ht="20.05" customHeight="1">
      <c r="B5" s="30"/>
      <c r="C5" s="17">
        <v>1272</v>
      </c>
      <c r="D5" s="18"/>
      <c r="E5" s="18">
        <v>-62</v>
      </c>
      <c r="F5" s="18">
        <v>29</v>
      </c>
      <c r="G5" s="18">
        <v>-273.8</v>
      </c>
      <c r="H5" s="18">
        <f>D5+E5+F5</f>
        <v>-33</v>
      </c>
      <c r="I5" s="18"/>
      <c r="J5" s="18">
        <f>-(G5-D5)+J4</f>
        <v>268</v>
      </c>
    </row>
    <row r="6" ht="20.05" customHeight="1">
      <c r="B6" s="30"/>
      <c r="C6" s="17">
        <v>1365</v>
      </c>
      <c r="D6" s="18"/>
      <c r="E6" s="18">
        <v>134</v>
      </c>
      <c r="F6" s="18">
        <v>-18</v>
      </c>
      <c r="G6" s="18">
        <v>-17</v>
      </c>
      <c r="H6" s="18">
        <f>D6+E6+F6</f>
        <v>116</v>
      </c>
      <c r="I6" s="18"/>
      <c r="J6" s="18">
        <f>-(G6-D6)+J5</f>
        <v>285</v>
      </c>
    </row>
    <row r="7" ht="20.05" customHeight="1">
      <c r="B7" s="30"/>
      <c r="C7" s="17">
        <v>1483</v>
      </c>
      <c r="D7" s="18"/>
      <c r="E7" s="18">
        <v>527</v>
      </c>
      <c r="F7" s="18">
        <v>-103</v>
      </c>
      <c r="G7" s="18">
        <v>-9</v>
      </c>
      <c r="H7" s="18">
        <f>D7+E7+F7</f>
        <v>424</v>
      </c>
      <c r="I7" s="18"/>
      <c r="J7" s="18">
        <f>-(G7-D7)+J6</f>
        <v>294</v>
      </c>
    </row>
    <row r="8" ht="20.05" customHeight="1">
      <c r="B8" s="31">
        <v>2016</v>
      </c>
      <c r="C8" s="17">
        <v>1325</v>
      </c>
      <c r="D8" s="18"/>
      <c r="E8" s="18">
        <v>229</v>
      </c>
      <c r="F8" s="18">
        <v>-219</v>
      </c>
      <c r="G8" s="18">
        <v>-2.9</v>
      </c>
      <c r="H8" s="18">
        <f>D8+E8+F8</f>
        <v>10</v>
      </c>
      <c r="I8" s="32">
        <f>AVERAGE(H5:H8)</f>
        <v>129.25</v>
      </c>
      <c r="J8" s="18">
        <f>-(G8-D8)+J7</f>
        <v>296.9</v>
      </c>
    </row>
    <row r="9" ht="20.05" customHeight="1">
      <c r="B9" s="30"/>
      <c r="C9" s="17">
        <v>1333</v>
      </c>
      <c r="D9" s="18"/>
      <c r="E9" s="18">
        <v>-224</v>
      </c>
      <c r="F9" s="18">
        <v>197</v>
      </c>
      <c r="G9" s="18">
        <v>-259.1</v>
      </c>
      <c r="H9" s="18">
        <f>D9+E9+F9</f>
        <v>-27</v>
      </c>
      <c r="I9" s="32">
        <f>AVERAGE(H6:H9)</f>
        <v>130.75</v>
      </c>
      <c r="J9" s="18">
        <f>-(G9-D9)+J8</f>
        <v>556</v>
      </c>
    </row>
    <row r="10" ht="20.05" customHeight="1">
      <c r="B10" s="30"/>
      <c r="C10" s="17">
        <v>1388</v>
      </c>
      <c r="D10" s="18"/>
      <c r="E10" s="18">
        <v>213</v>
      </c>
      <c r="F10" s="18">
        <v>-29</v>
      </c>
      <c r="G10" s="18">
        <v>-10</v>
      </c>
      <c r="H10" s="18">
        <f>D10+E10+F10</f>
        <v>184</v>
      </c>
      <c r="I10" s="32">
        <f>AVERAGE(H7:H10)</f>
        <v>147.75</v>
      </c>
      <c r="J10" s="18">
        <f>-(G10-D10)+J9</f>
        <v>566</v>
      </c>
    </row>
    <row r="11" ht="20.05" customHeight="1">
      <c r="B11" s="30"/>
      <c r="C11" s="17">
        <v>1581</v>
      </c>
      <c r="D11" s="18"/>
      <c r="E11" s="18">
        <v>274</v>
      </c>
      <c r="F11" s="18">
        <v>-76</v>
      </c>
      <c r="G11" s="18">
        <v>-9</v>
      </c>
      <c r="H11" s="18">
        <f>D11+E11+F11</f>
        <v>198</v>
      </c>
      <c r="I11" s="32">
        <f>AVERAGE(H8:H11)</f>
        <v>91.25</v>
      </c>
      <c r="J11" s="18">
        <f>-(G11-D11)+J10</f>
        <v>575</v>
      </c>
    </row>
    <row r="12" ht="20.05" customHeight="1">
      <c r="B12" s="31">
        <v>2017</v>
      </c>
      <c r="C12" s="17">
        <v>1489</v>
      </c>
      <c r="D12" s="18"/>
      <c r="E12" s="18">
        <v>243</v>
      </c>
      <c r="F12" s="18">
        <v>-52</v>
      </c>
      <c r="G12" s="18">
        <v>0</v>
      </c>
      <c r="H12" s="18">
        <f>D12+E12+F12</f>
        <v>191</v>
      </c>
      <c r="I12" s="32">
        <f>AVERAGE(H9:H12)</f>
        <v>136.5</v>
      </c>
      <c r="J12" s="18">
        <f>-(G12-D12)+J11</f>
        <v>575</v>
      </c>
    </row>
    <row r="13" ht="20.05" customHeight="1">
      <c r="B13" s="30"/>
      <c r="C13" s="17">
        <v>1668</v>
      </c>
      <c r="D13" s="18"/>
      <c r="E13" s="18">
        <v>284</v>
      </c>
      <c r="F13" s="18">
        <v>-43</v>
      </c>
      <c r="G13" s="18">
        <v>-289</v>
      </c>
      <c r="H13" s="18">
        <f>D13+E13+F13</f>
        <v>241</v>
      </c>
      <c r="I13" s="32">
        <f>AVERAGE(H10:H13)</f>
        <v>203.5</v>
      </c>
      <c r="J13" s="18">
        <f>-(G13-D13)+J12</f>
        <v>864</v>
      </c>
    </row>
    <row r="14" ht="20.05" customHeight="1">
      <c r="B14" s="30"/>
      <c r="C14" s="17">
        <v>1626</v>
      </c>
      <c r="D14" s="18"/>
      <c r="E14" s="18">
        <v>-57</v>
      </c>
      <c r="F14" s="18">
        <v>-49</v>
      </c>
      <c r="G14" s="18">
        <v>-5</v>
      </c>
      <c r="H14" s="18">
        <f>D14+E14+F14</f>
        <v>-106</v>
      </c>
      <c r="I14" s="32">
        <f>AVERAGE(H11:H14)</f>
        <v>131</v>
      </c>
      <c r="J14" s="18">
        <f>-(G14-D14)+J13</f>
        <v>869</v>
      </c>
    </row>
    <row r="15" ht="20.05" customHeight="1">
      <c r="B15" s="30"/>
      <c r="C15" s="17">
        <v>1884</v>
      </c>
      <c r="D15" s="18"/>
      <c r="E15" s="18">
        <v>220</v>
      </c>
      <c r="F15" s="18">
        <v>-43</v>
      </c>
      <c r="G15" s="18">
        <v>-8</v>
      </c>
      <c r="H15" s="18">
        <f>D15+E15+F15</f>
        <v>177</v>
      </c>
      <c r="I15" s="32">
        <f>AVERAGE(H12:H15)</f>
        <v>125.75</v>
      </c>
      <c r="J15" s="18">
        <f>-(G15-D15)+J14</f>
        <v>877</v>
      </c>
    </row>
    <row r="16" ht="20.05" customHeight="1">
      <c r="B16" s="31">
        <v>2018</v>
      </c>
      <c r="C16" s="17">
        <v>1828</v>
      </c>
      <c r="D16" s="18"/>
      <c r="E16" s="18">
        <v>123</v>
      </c>
      <c r="F16" s="18">
        <v>-24</v>
      </c>
      <c r="G16" s="18">
        <v>7</v>
      </c>
      <c r="H16" s="18">
        <f>D16+E16+F16</f>
        <v>99</v>
      </c>
      <c r="I16" s="32">
        <f>AVERAGE(H13:H16)</f>
        <v>102.75</v>
      </c>
      <c r="J16" s="18">
        <f>-(G16-D16)+J15</f>
        <v>870</v>
      </c>
    </row>
    <row r="17" ht="20.05" customHeight="1">
      <c r="B17" s="30"/>
      <c r="C17" s="17">
        <v>2091</v>
      </c>
      <c r="D17" s="18"/>
      <c r="E17" s="18">
        <v>232</v>
      </c>
      <c r="F17" s="18">
        <v>-32</v>
      </c>
      <c r="G17" s="18">
        <v>-385</v>
      </c>
      <c r="H17" s="18">
        <f>D17+E17+F17</f>
        <v>200</v>
      </c>
      <c r="I17" s="32">
        <f>AVERAGE(H14:H17)</f>
        <v>92.5</v>
      </c>
      <c r="J17" s="18">
        <f>-(G17-D17)+J16</f>
        <v>1255</v>
      </c>
    </row>
    <row r="18" ht="20.05" customHeight="1">
      <c r="B18" s="30"/>
      <c r="C18" s="17">
        <v>2034</v>
      </c>
      <c r="D18" s="18"/>
      <c r="E18" s="18">
        <v>-291</v>
      </c>
      <c r="F18" s="18">
        <v>-50</v>
      </c>
      <c r="G18" s="18">
        <v>33</v>
      </c>
      <c r="H18" s="18">
        <f>D18+E18+F18</f>
        <v>-341</v>
      </c>
      <c r="I18" s="32">
        <f>AVERAGE(H15:H18)</f>
        <v>33.75</v>
      </c>
      <c r="J18" s="18">
        <f>-(G18-D18)+J17</f>
        <v>1222</v>
      </c>
    </row>
    <row r="19" ht="20.05" customHeight="1">
      <c r="B19" s="30"/>
      <c r="C19" s="17">
        <v>2401</v>
      </c>
      <c r="D19" s="18"/>
      <c r="E19" s="18">
        <v>216.5</v>
      </c>
      <c r="F19" s="18">
        <v>-78</v>
      </c>
      <c r="G19" s="18">
        <v>146</v>
      </c>
      <c r="H19" s="18">
        <f>D19+E19+F19</f>
        <v>138.5</v>
      </c>
      <c r="I19" s="32">
        <f>AVERAGE(H16:H19)</f>
        <v>24.125</v>
      </c>
      <c r="J19" s="18">
        <f>-(G19-D19)+J18</f>
        <v>1076</v>
      </c>
    </row>
    <row r="20" ht="20.05" customHeight="1">
      <c r="B20" s="31">
        <v>2019</v>
      </c>
      <c r="C20" s="17">
        <v>2143</v>
      </c>
      <c r="D20" s="18">
        <v>-69.25</v>
      </c>
      <c r="E20" s="18">
        <v>121</v>
      </c>
      <c r="F20" s="18">
        <v>-32</v>
      </c>
      <c r="G20" s="18">
        <v>-108</v>
      </c>
      <c r="H20" s="18">
        <f>D20+E20+F20</f>
        <v>19.75</v>
      </c>
      <c r="I20" s="32">
        <f>AVERAGE(H17:H20)</f>
        <v>4.3125</v>
      </c>
      <c r="J20" s="18">
        <f>-(G20-D20)+J19</f>
        <v>1114.75</v>
      </c>
    </row>
    <row r="21" ht="20.05" customHeight="1">
      <c r="B21" s="30"/>
      <c r="C21" s="17">
        <v>2365</v>
      </c>
      <c r="D21" s="18">
        <v>-69.25</v>
      </c>
      <c r="E21" s="18">
        <v>263</v>
      </c>
      <c r="F21" s="18">
        <v>-45</v>
      </c>
      <c r="G21" s="18">
        <v>-462</v>
      </c>
      <c r="H21" s="18">
        <f>D21+E21+F21</f>
        <v>148.75</v>
      </c>
      <c r="I21" s="32">
        <f>AVERAGE(H18:H21)</f>
        <v>-8.5</v>
      </c>
      <c r="J21" s="18">
        <f>-(G21-D21)+J20</f>
        <v>1507.5</v>
      </c>
    </row>
    <row r="22" ht="20.05" customHeight="1">
      <c r="B22" s="30"/>
      <c r="C22" s="17">
        <v>2365</v>
      </c>
      <c r="D22" s="18">
        <v>-69.25</v>
      </c>
      <c r="E22" s="18">
        <v>287</v>
      </c>
      <c r="F22" s="18">
        <v>-27</v>
      </c>
      <c r="G22" s="18">
        <v>12</v>
      </c>
      <c r="H22" s="18">
        <f>D22+E22+F22</f>
        <v>190.75</v>
      </c>
      <c r="I22" s="32">
        <f>AVERAGE(H19:H22)</f>
        <v>124.4375</v>
      </c>
      <c r="J22" s="18">
        <f>-(G22-D22)+J21</f>
        <v>1426.25</v>
      </c>
    </row>
    <row r="23" ht="20.05" customHeight="1">
      <c r="B23" s="30"/>
      <c r="C23" s="17">
        <v>2503</v>
      </c>
      <c r="D23" s="18">
        <v>-69.25</v>
      </c>
      <c r="E23" s="18">
        <v>488.5</v>
      </c>
      <c r="F23" s="18">
        <v>-54</v>
      </c>
      <c r="G23" s="18">
        <v>10.5</v>
      </c>
      <c r="H23" s="18">
        <f>D23+E23+F23</f>
        <v>365.25</v>
      </c>
      <c r="I23" s="32">
        <f>AVERAGE(H20:H23)</f>
        <v>181.125</v>
      </c>
      <c r="J23" s="18">
        <f>-(G23-D23)+J22</f>
        <v>1346.5</v>
      </c>
    </row>
    <row r="24" ht="20.05" customHeight="1">
      <c r="B24" s="31">
        <v>2020</v>
      </c>
      <c r="C24" s="17">
        <v>2330</v>
      </c>
      <c r="D24" s="18">
        <v>-50</v>
      </c>
      <c r="E24" s="18">
        <v>403</v>
      </c>
      <c r="F24" s="18">
        <v>-65</v>
      </c>
      <c r="G24" s="18">
        <v>-35</v>
      </c>
      <c r="H24" s="18">
        <f>D24+E24+F24</f>
        <v>288</v>
      </c>
      <c r="I24" s="32">
        <f>AVERAGE(H21:H24)</f>
        <v>248.1875</v>
      </c>
      <c r="J24" s="18">
        <f>-(G24-D24)+J23</f>
        <v>1331.5</v>
      </c>
    </row>
    <row r="25" ht="20.05" customHeight="1">
      <c r="B25" s="30"/>
      <c r="C25" s="17">
        <v>1922</v>
      </c>
      <c r="D25" s="18">
        <v>-50</v>
      </c>
      <c r="E25" s="18">
        <v>183</v>
      </c>
      <c r="F25" s="18">
        <v>-30</v>
      </c>
      <c r="G25" s="18">
        <v>-25</v>
      </c>
      <c r="H25" s="18">
        <f>D25+E25+F25</f>
        <v>103</v>
      </c>
      <c r="I25" s="32">
        <f>AVERAGE(H22:H25)</f>
        <v>236.75</v>
      </c>
      <c r="J25" s="18">
        <f>-(G25-D25)+J24</f>
        <v>1306.5</v>
      </c>
    </row>
    <row r="26" ht="20.05" customHeight="1">
      <c r="B26" s="30"/>
      <c r="C26" s="17">
        <v>2115</v>
      </c>
      <c r="D26" s="18">
        <v>-2.33333333333333</v>
      </c>
      <c r="E26" s="18">
        <v>411</v>
      </c>
      <c r="F26" s="18">
        <v>-42</v>
      </c>
      <c r="G26" s="18">
        <v>-273</v>
      </c>
      <c r="H26" s="18">
        <f>D26+E26+F26</f>
        <v>366.666666666667</v>
      </c>
      <c r="I26" s="32">
        <f>AVERAGE(H23:H26)</f>
        <v>280.729166666667</v>
      </c>
      <c r="J26" s="18">
        <f>-(G26-D26)+J25</f>
        <v>1577.166666666670</v>
      </c>
    </row>
    <row r="27" ht="20.05" customHeight="1">
      <c r="B27" s="30"/>
      <c r="C27" s="17">
        <f>8506.6-SUM(C24:C26)</f>
        <v>2139.6</v>
      </c>
      <c r="D27" s="18">
        <v>-2.33333333333333</v>
      </c>
      <c r="E27" s="18">
        <f>1538.6-SUM(E24:E26)</f>
        <v>541.6</v>
      </c>
      <c r="F27" s="18">
        <f>-166-SUM(F24:F26)</f>
        <v>-29</v>
      </c>
      <c r="G27" s="18">
        <f>-405-SUM(G24:G26)</f>
        <v>-72</v>
      </c>
      <c r="H27" s="18">
        <f>D27+E27+F27</f>
        <v>510.266666666667</v>
      </c>
      <c r="I27" s="32">
        <f>AVERAGE(H24:H27)</f>
        <v>316.983333333334</v>
      </c>
      <c r="J27" s="18">
        <f>-(G27-D27)+J26</f>
        <v>1646.833333333340</v>
      </c>
    </row>
    <row r="28" ht="20.05" customHeight="1">
      <c r="B28" s="31">
        <v>2021</v>
      </c>
      <c r="C28" s="17">
        <v>2010.6</v>
      </c>
      <c r="D28" s="18">
        <v>-14.55</v>
      </c>
      <c r="E28" s="18">
        <v>294.2</v>
      </c>
      <c r="F28" s="18">
        <v>-20.4</v>
      </c>
      <c r="G28" s="18">
        <v>-91.90000000000001</v>
      </c>
      <c r="H28" s="18">
        <f>D28+E28+F28</f>
        <v>259.25</v>
      </c>
      <c r="I28" s="32">
        <f>AVERAGE(H25:H28)</f>
        <v>309.795833333334</v>
      </c>
      <c r="J28" s="18">
        <f>-(G28-D28)+J27</f>
        <v>1724.183333333340</v>
      </c>
    </row>
    <row r="29" ht="20.05" customHeight="1">
      <c r="B29" s="30"/>
      <c r="C29" s="17">
        <f>4057.3-C28</f>
        <v>2046.7</v>
      </c>
      <c r="D29" s="18">
        <v>-14.55</v>
      </c>
      <c r="E29" s="18">
        <f>224.5-E28</f>
        <v>-69.7</v>
      </c>
      <c r="F29" s="18">
        <f>-40.7-F28</f>
        <v>-20.3</v>
      </c>
      <c r="G29" s="18">
        <f>-31.4-G28</f>
        <v>60.5</v>
      </c>
      <c r="H29" s="18">
        <f>D29+E29+F29</f>
        <v>-104.55</v>
      </c>
      <c r="I29" s="32">
        <f>AVERAGE(H26:H29)</f>
        <v>257.908333333334</v>
      </c>
      <c r="J29" s="18">
        <f>-(G29-D29)+J28</f>
        <v>1649.133333333340</v>
      </c>
    </row>
    <row r="30" ht="20.05" customHeight="1">
      <c r="B30" s="30"/>
      <c r="C30" s="17">
        <f>5551-SUM(C28:C29)</f>
        <v>1493.7</v>
      </c>
      <c r="D30" s="18">
        <f>-73.5-SUM(D28:D29)</f>
        <v>-44.4</v>
      </c>
      <c r="E30" s="18">
        <f>321.2-SUM(E28:E29)</f>
        <v>96.7</v>
      </c>
      <c r="F30" s="18">
        <f>-57-SUM(F28:F29)</f>
        <v>-16.3</v>
      </c>
      <c r="G30" s="18">
        <f>-635.1-SUM(G28:G29)</f>
        <v>-603.7</v>
      </c>
      <c r="H30" s="18">
        <f>D30+E30+F30</f>
        <v>36</v>
      </c>
      <c r="I30" s="32">
        <f>AVERAGE(H27:H30)</f>
        <v>175.241666666667</v>
      </c>
      <c r="J30" s="18">
        <f>-(G30-D30)+J29</f>
        <v>2208.433333333340</v>
      </c>
    </row>
    <row r="31" ht="20.05" customHeight="1">
      <c r="B31" s="30"/>
      <c r="C31" s="17"/>
      <c r="D31" s="18"/>
      <c r="E31" s="18"/>
      <c r="F31" s="18"/>
      <c r="G31" s="18"/>
      <c r="H31" s="18"/>
      <c r="I31" s="32">
        <f>SUM('Model'!F9:F11)</f>
        <v>339.123143608540</v>
      </c>
      <c r="J31" s="18">
        <f>'Model'!F33</f>
        <v>3041.5851989465</v>
      </c>
    </row>
  </sheetData>
  <mergeCells count="1">
    <mergeCell ref="B2:J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4" customWidth="1"/>
    <col min="2" max="2" width="8.75" style="34" customWidth="1"/>
    <col min="3" max="11" width="9.98438" style="34" customWidth="1"/>
    <col min="12" max="16384" width="16.3516" style="34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51</v>
      </c>
      <c r="D3" t="s" s="4">
        <v>52</v>
      </c>
      <c r="E3" t="s" s="4">
        <v>53</v>
      </c>
      <c r="F3" t="s" s="4">
        <v>24</v>
      </c>
      <c r="G3" t="s" s="4">
        <v>12</v>
      </c>
      <c r="H3" t="s" s="4">
        <v>26</v>
      </c>
      <c r="I3" t="s" s="4">
        <v>54</v>
      </c>
      <c r="J3" t="s" s="4">
        <v>28</v>
      </c>
      <c r="K3" t="s" s="4">
        <v>36</v>
      </c>
    </row>
    <row r="4" ht="20.25" customHeight="1">
      <c r="B4" s="25">
        <v>2015</v>
      </c>
      <c r="C4" s="26">
        <v>414</v>
      </c>
      <c r="D4" s="28">
        <v>3092</v>
      </c>
      <c r="E4" s="28">
        <f>D4-C4</f>
        <v>2678</v>
      </c>
      <c r="F4" s="28">
        <f>408+23</f>
        <v>431</v>
      </c>
      <c r="G4" s="28">
        <v>605</v>
      </c>
      <c r="H4" s="28">
        <v>2487</v>
      </c>
      <c r="I4" s="28">
        <f>G4+H4-C4-E4</f>
        <v>0</v>
      </c>
      <c r="J4" s="28">
        <f>C4-G4</f>
        <v>-191</v>
      </c>
      <c r="K4" s="28"/>
    </row>
    <row r="5" ht="20.05" customHeight="1">
      <c r="B5" s="30"/>
      <c r="C5" s="17">
        <v>110</v>
      </c>
      <c r="D5" s="18">
        <v>2939</v>
      </c>
      <c r="E5" s="18">
        <f>D5-C5</f>
        <v>2829</v>
      </c>
      <c r="F5" s="18">
        <f>428+25</f>
        <v>453</v>
      </c>
      <c r="G5" s="18">
        <v>603</v>
      </c>
      <c r="H5" s="18">
        <v>2336</v>
      </c>
      <c r="I5" s="18">
        <f>G5+H5-C5-E5</f>
        <v>0</v>
      </c>
      <c r="J5" s="18">
        <f>C5-G5</f>
        <v>-493</v>
      </c>
      <c r="K5" s="18"/>
    </row>
    <row r="6" ht="20.05" customHeight="1">
      <c r="B6" s="30"/>
      <c r="C6" s="17">
        <v>209</v>
      </c>
      <c r="D6" s="18">
        <v>3071</v>
      </c>
      <c r="E6" s="18">
        <f>D6-C6</f>
        <v>2862</v>
      </c>
      <c r="F6" s="18">
        <f>450+27</f>
        <v>477</v>
      </c>
      <c r="G6" s="18">
        <v>604</v>
      </c>
      <c r="H6" s="18">
        <v>2467</v>
      </c>
      <c r="I6" s="18">
        <f>G6+H6-C6-E6</f>
        <v>0</v>
      </c>
      <c r="J6" s="18">
        <f>C6-G6</f>
        <v>-395</v>
      </c>
      <c r="K6" s="18"/>
    </row>
    <row r="7" ht="20.05" customHeight="1">
      <c r="B7" s="30"/>
      <c r="C7" s="17">
        <v>622</v>
      </c>
      <c r="D7" s="18">
        <v>3267</v>
      </c>
      <c r="E7" s="18">
        <f>D7-C7</f>
        <v>2645</v>
      </c>
      <c r="F7" s="18">
        <f>468+29</f>
        <v>497</v>
      </c>
      <c r="G7" s="18">
        <v>638</v>
      </c>
      <c r="H7" s="18">
        <v>2629</v>
      </c>
      <c r="I7" s="18">
        <f>G7+H7-C7-E7</f>
        <v>0</v>
      </c>
      <c r="J7" s="18">
        <f>C7-G7</f>
        <v>-16</v>
      </c>
      <c r="K7" s="18"/>
    </row>
    <row r="8" ht="20.05" customHeight="1">
      <c r="B8" s="31">
        <v>2016</v>
      </c>
      <c r="C8" s="17">
        <v>629</v>
      </c>
      <c r="D8" s="18">
        <v>3418</v>
      </c>
      <c r="E8" s="18">
        <f>D8-C8</f>
        <v>2789</v>
      </c>
      <c r="F8" s="18">
        <f>966+31</f>
        <v>997</v>
      </c>
      <c r="G8" s="18">
        <v>652</v>
      </c>
      <c r="H8" s="18">
        <v>2766</v>
      </c>
      <c r="I8" s="18">
        <f>G8+H8-C8-E8</f>
        <v>0</v>
      </c>
      <c r="J8" s="18">
        <f>C8-G8</f>
        <v>-23</v>
      </c>
      <c r="K8" s="18"/>
    </row>
    <row r="9" ht="20.05" customHeight="1">
      <c r="B9" s="30"/>
      <c r="C9" s="17">
        <v>343</v>
      </c>
      <c r="D9" s="18">
        <v>3254</v>
      </c>
      <c r="E9" s="18">
        <f>D9-C9</f>
        <v>2911</v>
      </c>
      <c r="F9" s="18">
        <f>498+33</f>
        <v>531</v>
      </c>
      <c r="G9" s="18">
        <v>655</v>
      </c>
      <c r="H9" s="18">
        <v>2599</v>
      </c>
      <c r="I9" s="18">
        <f>G9+H9-C9-E9</f>
        <v>0</v>
      </c>
      <c r="J9" s="18">
        <f>C9-G9</f>
        <v>-312</v>
      </c>
      <c r="K9" s="18"/>
    </row>
    <row r="10" ht="20.05" customHeight="1">
      <c r="B10" s="30"/>
      <c r="C10" s="17">
        <v>517</v>
      </c>
      <c r="D10" s="18">
        <v>3502</v>
      </c>
      <c r="E10" s="18">
        <f>D10-C10</f>
        <v>2985</v>
      </c>
      <c r="F10" s="18">
        <f>511+34</f>
        <v>545</v>
      </c>
      <c r="G10" s="18">
        <v>666</v>
      </c>
      <c r="H10" s="18">
        <v>2836</v>
      </c>
      <c r="I10" s="18">
        <f>G10+H10-C10-E10</f>
        <v>0</v>
      </c>
      <c r="J10" s="18">
        <f>C10-G10</f>
        <v>-149</v>
      </c>
      <c r="K10" s="18"/>
    </row>
    <row r="11" ht="20.05" customHeight="1">
      <c r="B11" s="30"/>
      <c r="C11" s="17">
        <v>704</v>
      </c>
      <c r="D11" s="18">
        <v>3731</v>
      </c>
      <c r="E11" s="18">
        <f>D11-C11</f>
        <v>3027</v>
      </c>
      <c r="F11" s="18">
        <f>0+527+35</f>
        <v>562</v>
      </c>
      <c r="G11" s="18">
        <v>682</v>
      </c>
      <c r="H11" s="18">
        <v>3049</v>
      </c>
      <c r="I11" s="18">
        <f>G11+H11-C11-E11</f>
        <v>0</v>
      </c>
      <c r="J11" s="18">
        <f>C11-G11</f>
        <v>22</v>
      </c>
      <c r="K11" s="18"/>
    </row>
    <row r="12" ht="20.05" customHeight="1">
      <c r="B12" s="31">
        <v>2017</v>
      </c>
      <c r="C12" s="17">
        <v>895</v>
      </c>
      <c r="D12" s="18">
        <v>3919</v>
      </c>
      <c r="E12" s="18">
        <f>D12-C12</f>
        <v>3024</v>
      </c>
      <c r="F12" s="18">
        <f>540+36</f>
        <v>576</v>
      </c>
      <c r="G12" s="18">
        <v>716</v>
      </c>
      <c r="H12" s="18">
        <v>3203</v>
      </c>
      <c r="I12" s="18">
        <f>G12+H12-C12-E12</f>
        <v>0</v>
      </c>
      <c r="J12" s="18">
        <f>C12-G12</f>
        <v>179</v>
      </c>
      <c r="K12" s="18"/>
    </row>
    <row r="13" ht="20.05" customHeight="1">
      <c r="B13" s="30"/>
      <c r="C13" s="17">
        <v>848</v>
      </c>
      <c r="D13" s="18">
        <v>3909</v>
      </c>
      <c r="E13" s="18">
        <f>D13-C13</f>
        <v>3061</v>
      </c>
      <c r="F13" s="18">
        <f>553+37</f>
        <v>590</v>
      </c>
      <c r="G13" s="18">
        <v>814</v>
      </c>
      <c r="H13" s="18">
        <v>3095</v>
      </c>
      <c r="I13" s="18">
        <f>G13+H13-C13-E13</f>
        <v>0</v>
      </c>
      <c r="J13" s="18">
        <f>C13-G13</f>
        <v>34</v>
      </c>
      <c r="K13" s="18"/>
    </row>
    <row r="14" ht="20.05" customHeight="1">
      <c r="B14" s="30"/>
      <c r="C14" s="17">
        <v>733</v>
      </c>
      <c r="D14" s="18">
        <v>4110</v>
      </c>
      <c r="E14" s="18">
        <f>D14-C14</f>
        <v>3377</v>
      </c>
      <c r="F14" s="18">
        <f>15+554+38</f>
        <v>607</v>
      </c>
      <c r="G14" s="18">
        <v>814</v>
      </c>
      <c r="H14" s="18">
        <v>3296</v>
      </c>
      <c r="I14" s="18">
        <f>G14+H14-C14-E14</f>
        <v>0</v>
      </c>
      <c r="J14" s="18">
        <f>C14-G14</f>
        <v>-81</v>
      </c>
      <c r="K14" s="18"/>
    </row>
    <row r="15" ht="20.05" customHeight="1">
      <c r="B15" s="30"/>
      <c r="C15" s="17">
        <v>902</v>
      </c>
      <c r="D15" s="18">
        <v>4429</v>
      </c>
      <c r="E15" s="18">
        <f>D15-C15</f>
        <v>3527</v>
      </c>
      <c r="F15" s="18">
        <f>14+623+39</f>
        <v>676</v>
      </c>
      <c r="G15" s="18">
        <v>918</v>
      </c>
      <c r="H15" s="18">
        <v>3511</v>
      </c>
      <c r="I15" s="18">
        <f>G15+H15-C15-E15</f>
        <v>0</v>
      </c>
      <c r="J15" s="18">
        <f>C15-G15</f>
        <v>-16</v>
      </c>
      <c r="K15" s="18"/>
    </row>
    <row r="16" ht="20.05" customHeight="1">
      <c r="B16" s="31">
        <v>2018</v>
      </c>
      <c r="C16" s="17">
        <v>1008</v>
      </c>
      <c r="D16" s="18">
        <v>4671</v>
      </c>
      <c r="E16" s="18">
        <f>D16-C16</f>
        <v>3663</v>
      </c>
      <c r="F16" s="18">
        <f>17+590+40</f>
        <v>647</v>
      </c>
      <c r="G16" s="18">
        <v>950</v>
      </c>
      <c r="H16" s="18">
        <v>3721</v>
      </c>
      <c r="I16" s="18">
        <f>G16+H16-C16-E16</f>
        <v>0</v>
      </c>
      <c r="J16" s="18">
        <f>C16-G16</f>
        <v>58</v>
      </c>
      <c r="K16" s="18"/>
    </row>
    <row r="17" ht="20.05" customHeight="1">
      <c r="B17" s="30"/>
      <c r="C17" s="17">
        <v>821</v>
      </c>
      <c r="D17" s="18">
        <v>4534</v>
      </c>
      <c r="E17" s="18">
        <f>D17-C17</f>
        <v>3713</v>
      </c>
      <c r="F17" s="18">
        <f>21+604+41</f>
        <v>666</v>
      </c>
      <c r="G17" s="18">
        <v>983</v>
      </c>
      <c r="H17" s="18">
        <v>3551</v>
      </c>
      <c r="I17" s="18">
        <f>G17+H17-C17-E17</f>
        <v>0</v>
      </c>
      <c r="J17" s="18">
        <f>C17-G17</f>
        <v>-162</v>
      </c>
      <c r="K17" s="18"/>
    </row>
    <row r="18" ht="20.05" customHeight="1">
      <c r="B18" s="30"/>
      <c r="C18" s="17">
        <v>509</v>
      </c>
      <c r="D18" s="18">
        <v>4874</v>
      </c>
      <c r="E18" s="18">
        <f>D18-C18</f>
        <v>4365</v>
      </c>
      <c r="F18" s="18">
        <f>24+623+42</f>
        <v>689</v>
      </c>
      <c r="G18" s="18">
        <v>1049</v>
      </c>
      <c r="H18" s="18">
        <v>3825</v>
      </c>
      <c r="I18" s="18">
        <f>G18+H18-C18-E18</f>
        <v>0</v>
      </c>
      <c r="J18" s="18">
        <f>C18-G18</f>
        <v>-540</v>
      </c>
      <c r="K18" s="18"/>
    </row>
    <row r="19" ht="20.05" customHeight="1">
      <c r="B19" s="30"/>
      <c r="C19" s="17">
        <v>799</v>
      </c>
      <c r="D19" s="18">
        <v>5868</v>
      </c>
      <c r="E19" s="18">
        <f>D19-C19</f>
        <v>5069</v>
      </c>
      <c r="F19" s="18">
        <f>29+640+43</f>
        <v>712</v>
      </c>
      <c r="G19" s="18">
        <v>1684</v>
      </c>
      <c r="H19" s="18">
        <v>4184</v>
      </c>
      <c r="I19" s="18">
        <f>G19+H19-C19-E19</f>
        <v>0</v>
      </c>
      <c r="J19" s="18">
        <f>C19-G19</f>
        <v>-885</v>
      </c>
      <c r="K19" s="18"/>
    </row>
    <row r="20" ht="20.05" customHeight="1">
      <c r="B20" s="31">
        <v>2019</v>
      </c>
      <c r="C20" s="17">
        <v>781</v>
      </c>
      <c r="D20" s="18">
        <v>5450</v>
      </c>
      <c r="E20" s="18">
        <f>D20-C20</f>
        <v>4669</v>
      </c>
      <c r="F20" s="18">
        <f>661+33+44</f>
        <v>738</v>
      </c>
      <c r="G20" s="18">
        <v>975</v>
      </c>
      <c r="H20" s="18">
        <v>4475</v>
      </c>
      <c r="I20" s="18">
        <f>G20+H20-C20-E20</f>
        <v>0</v>
      </c>
      <c r="J20" s="18">
        <f>C20-G20</f>
        <v>-194</v>
      </c>
      <c r="K20" s="18"/>
    </row>
    <row r="21" ht="20.05" customHeight="1">
      <c r="B21" s="30"/>
      <c r="C21" s="17">
        <v>536</v>
      </c>
      <c r="D21" s="18">
        <v>5203</v>
      </c>
      <c r="E21" s="18">
        <f>D21-C21</f>
        <v>4667</v>
      </c>
      <c r="F21" s="18">
        <f>36+685</f>
        <v>721</v>
      </c>
      <c r="G21" s="18">
        <v>971</v>
      </c>
      <c r="H21" s="18">
        <v>4232</v>
      </c>
      <c r="I21" s="18">
        <f>G21+H21-C21-E21</f>
        <v>0</v>
      </c>
      <c r="J21" s="18">
        <f>C21-G21</f>
        <v>-435</v>
      </c>
      <c r="K21" s="18"/>
    </row>
    <row r="22" ht="20.05" customHeight="1">
      <c r="B22" s="30"/>
      <c r="C22" s="17">
        <v>809</v>
      </c>
      <c r="D22" s="18">
        <v>5488</v>
      </c>
      <c r="E22" s="18">
        <f>D22-C22</f>
        <v>4679</v>
      </c>
      <c r="F22" s="18">
        <f>40+707</f>
        <v>747</v>
      </c>
      <c r="G22" s="18">
        <v>1003</v>
      </c>
      <c r="H22" s="18">
        <v>4485</v>
      </c>
      <c r="I22" s="18">
        <f>G22+H22-C22-E22</f>
        <v>0</v>
      </c>
      <c r="J22" s="18">
        <f>C22-G22</f>
        <v>-194</v>
      </c>
      <c r="K22" s="21"/>
    </row>
    <row r="23" ht="20.05" customHeight="1">
      <c r="B23" s="30"/>
      <c r="C23" s="17">
        <v>1255</v>
      </c>
      <c r="D23" s="18">
        <v>6646</v>
      </c>
      <c r="E23" s="18">
        <f>D23-C23</f>
        <v>5391</v>
      </c>
      <c r="F23" s="18">
        <f>47+721+44+770</f>
        <v>1582</v>
      </c>
      <c r="G23" s="18">
        <v>1969</v>
      </c>
      <c r="H23" s="18">
        <v>4677</v>
      </c>
      <c r="I23" s="18">
        <f>G23+H23-C23-E23</f>
        <v>0</v>
      </c>
      <c r="J23" s="18">
        <f>C23-G23</f>
        <v>-714</v>
      </c>
      <c r="K23" s="21"/>
    </row>
    <row r="24" ht="20.05" customHeight="1">
      <c r="B24" s="31">
        <v>2020</v>
      </c>
      <c r="C24" s="17">
        <v>1546</v>
      </c>
      <c r="D24" s="18">
        <v>6989</v>
      </c>
      <c r="E24" s="18">
        <f>D24-C24</f>
        <v>5443</v>
      </c>
      <c r="F24" s="18">
        <f>749+48+825+48</f>
        <v>1670</v>
      </c>
      <c r="G24" s="18">
        <v>2093</v>
      </c>
      <c r="H24" s="18">
        <v>4896</v>
      </c>
      <c r="I24" s="18">
        <f>G24+H24-C24-E24</f>
        <v>0</v>
      </c>
      <c r="J24" s="18">
        <f>C24-G24</f>
        <v>-547</v>
      </c>
      <c r="K24" s="21"/>
    </row>
    <row r="25" ht="20.05" customHeight="1">
      <c r="B25" s="30"/>
      <c r="C25" s="17">
        <v>1684</v>
      </c>
      <c r="D25" s="18">
        <v>7095</v>
      </c>
      <c r="E25" s="18">
        <f>D25-C25</f>
        <v>5411</v>
      </c>
      <c r="F25" s="18">
        <f>49+778+51+816</f>
        <v>1694</v>
      </c>
      <c r="G25" s="18">
        <v>2099</v>
      </c>
      <c r="H25" s="18">
        <v>4996</v>
      </c>
      <c r="I25" s="18">
        <f>G25+H25-C25-E25</f>
        <v>0</v>
      </c>
      <c r="J25" s="18">
        <f>C25-G25</f>
        <v>-415</v>
      </c>
      <c r="K25" s="21"/>
    </row>
    <row r="26" ht="20.05" customHeight="1">
      <c r="B26" s="30"/>
      <c r="C26" s="17">
        <v>1776</v>
      </c>
      <c r="D26" s="18">
        <v>6948</v>
      </c>
      <c r="E26" s="18">
        <f>D26-C26</f>
        <v>5172</v>
      </c>
      <c r="F26" s="18">
        <f>808+55+863+50</f>
        <v>1776</v>
      </c>
      <c r="G26" s="18">
        <v>2091</v>
      </c>
      <c r="H26" s="18">
        <v>4857</v>
      </c>
      <c r="I26" s="18">
        <f>G26+H26-C26-E26</f>
        <v>0</v>
      </c>
      <c r="J26" s="18">
        <f>C26-G26</f>
        <v>-315</v>
      </c>
      <c r="K26" s="21"/>
    </row>
    <row r="27" ht="20.05" customHeight="1">
      <c r="B27" s="30"/>
      <c r="C27" s="17">
        <v>2220</v>
      </c>
      <c r="D27" s="18">
        <v>7247</v>
      </c>
      <c r="E27" s="18">
        <f>D27-C27</f>
        <v>5027</v>
      </c>
      <c r="F27" s="18">
        <f>924+840+59</f>
        <v>1823</v>
      </c>
      <c r="G27" s="18">
        <v>2025</v>
      </c>
      <c r="H27" s="18">
        <v>5222</v>
      </c>
      <c r="I27" s="18">
        <f>G27+H27-C27-E27</f>
        <v>0</v>
      </c>
      <c r="J27" s="18">
        <f>C27-G27</f>
        <v>195</v>
      </c>
      <c r="K27" s="21"/>
    </row>
    <row r="28" ht="20.05" customHeight="1">
      <c r="B28" s="31">
        <v>2021</v>
      </c>
      <c r="C28" s="17">
        <v>2399</v>
      </c>
      <c r="D28" s="18">
        <v>7516</v>
      </c>
      <c r="E28" s="18">
        <f>D28-C28</f>
        <v>5117</v>
      </c>
      <c r="F28" s="18">
        <f>868+812+51+63</f>
        <v>1794</v>
      </c>
      <c r="G28" s="18">
        <v>2130</v>
      </c>
      <c r="H28" s="18">
        <v>5386</v>
      </c>
      <c r="I28" s="18">
        <f>G28+H28-C28-E28</f>
        <v>0</v>
      </c>
      <c r="J28" s="18">
        <f>C28-G28</f>
        <v>269</v>
      </c>
      <c r="K28" s="21"/>
    </row>
    <row r="29" ht="20.05" customHeight="1">
      <c r="B29" s="30"/>
      <c r="C29" s="17">
        <v>2370</v>
      </c>
      <c r="D29" s="18">
        <v>7426</v>
      </c>
      <c r="E29" s="18">
        <f>D29-C29</f>
        <v>5056</v>
      </c>
      <c r="F29" s="18">
        <f>882+900+67+52</f>
        <v>1901</v>
      </c>
      <c r="G29" s="18">
        <v>2474</v>
      </c>
      <c r="H29" s="18">
        <v>4952</v>
      </c>
      <c r="I29" s="18">
        <f>G29+H29-C29-E29</f>
        <v>0</v>
      </c>
      <c r="J29" s="18">
        <f>C29-G29</f>
        <v>-104</v>
      </c>
      <c r="K29" s="21"/>
    </row>
    <row r="30" ht="20.05" customHeight="1">
      <c r="B30" s="30"/>
      <c r="C30" s="17">
        <v>1848</v>
      </c>
      <c r="D30" s="18">
        <v>6926</v>
      </c>
      <c r="E30" s="18">
        <f>D30-C30</f>
        <v>5078</v>
      </c>
      <c r="F30" s="18">
        <f>892+930+71+52</f>
        <v>1945</v>
      </c>
      <c r="G30" s="18">
        <f>1930</f>
        <v>1930</v>
      </c>
      <c r="H30" s="18">
        <v>4996</v>
      </c>
      <c r="I30" s="18">
        <f>G30+H30-C30-E30</f>
        <v>0</v>
      </c>
      <c r="J30" s="18">
        <f>C30-G30</f>
        <v>-82</v>
      </c>
      <c r="K30" s="21">
        <f>J30</f>
        <v>-82</v>
      </c>
    </row>
    <row r="31" ht="20.05" customHeight="1">
      <c r="B31" s="30"/>
      <c r="C31" s="17"/>
      <c r="D31" s="18"/>
      <c r="E31" s="18"/>
      <c r="F31" s="18"/>
      <c r="G31" s="18"/>
      <c r="H31" s="18"/>
      <c r="I31" s="18"/>
      <c r="J31" s="18"/>
      <c r="K31" s="32">
        <f>'Model'!F31</f>
        <v>574.949540619930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875" style="35" customWidth="1"/>
    <col min="2" max="2" width="7.85156" style="35" customWidth="1"/>
    <col min="3" max="4" width="11.0547" style="35" customWidth="1"/>
    <col min="5" max="16384" width="16.3516" style="35" customWidth="1"/>
  </cols>
  <sheetData>
    <row r="1" ht="28.75" customHeight="1"/>
    <row r="2" ht="27.65" customHeight="1">
      <c r="B2" t="s" s="2">
        <v>55</v>
      </c>
      <c r="C2" s="2"/>
      <c r="D2" s="2"/>
    </row>
    <row r="3" ht="20.25" customHeight="1">
      <c r="B3" s="5"/>
      <c r="C3" t="s" s="3">
        <v>56</v>
      </c>
      <c r="D3" t="s" s="3">
        <v>57</v>
      </c>
    </row>
    <row r="4" ht="20.25" customHeight="1">
      <c r="B4" s="25">
        <v>2014</v>
      </c>
      <c r="C4" s="36">
        <v>760</v>
      </c>
      <c r="D4" s="8"/>
    </row>
    <row r="5" ht="20.05" customHeight="1">
      <c r="B5" s="30"/>
      <c r="C5" s="20">
        <v>800</v>
      </c>
      <c r="D5" s="22"/>
    </row>
    <row r="6" ht="20.05" customHeight="1">
      <c r="B6" s="30"/>
      <c r="C6" s="20">
        <v>750</v>
      </c>
      <c r="D6" s="22"/>
    </row>
    <row r="7" ht="20.05" customHeight="1">
      <c r="B7" s="30"/>
      <c r="C7" s="20">
        <v>745</v>
      </c>
      <c r="D7" s="22"/>
    </row>
    <row r="8" ht="20.05" customHeight="1">
      <c r="B8" s="30"/>
      <c r="C8" s="20">
        <v>900</v>
      </c>
      <c r="D8" s="22"/>
    </row>
    <row r="9" ht="20.05" customHeight="1">
      <c r="B9" s="30"/>
      <c r="C9" s="20">
        <v>880</v>
      </c>
      <c r="D9" s="22"/>
    </row>
    <row r="10" ht="20.05" customHeight="1">
      <c r="B10" s="30"/>
      <c r="C10" s="20">
        <v>925</v>
      </c>
      <c r="D10" s="22"/>
    </row>
    <row r="11" ht="20.05" customHeight="1">
      <c r="B11" s="30"/>
      <c r="C11" s="20">
        <v>935</v>
      </c>
      <c r="D11" s="22"/>
    </row>
    <row r="12" ht="20.05" customHeight="1">
      <c r="B12" s="30"/>
      <c r="C12" s="20">
        <v>885</v>
      </c>
      <c r="D12" s="22"/>
    </row>
    <row r="13" ht="20.05" customHeight="1">
      <c r="B13" s="30"/>
      <c r="C13" s="20">
        <v>810</v>
      </c>
      <c r="D13" s="22"/>
    </row>
    <row r="14" ht="20.05" customHeight="1">
      <c r="B14" s="30"/>
      <c r="C14" s="20">
        <v>805</v>
      </c>
      <c r="D14" s="22"/>
    </row>
    <row r="15" ht="20.05" customHeight="1">
      <c r="B15" s="30"/>
      <c r="C15" s="20">
        <v>785</v>
      </c>
      <c r="D15" s="22"/>
    </row>
    <row r="16" ht="20.05" customHeight="1">
      <c r="B16" s="31">
        <v>2015</v>
      </c>
      <c r="C16" s="20">
        <v>740</v>
      </c>
      <c r="D16" s="22"/>
    </row>
    <row r="17" ht="20.05" customHeight="1">
      <c r="B17" s="30"/>
      <c r="C17" s="20">
        <v>845</v>
      </c>
      <c r="D17" s="22"/>
    </row>
    <row r="18" ht="20.05" customHeight="1">
      <c r="B18" s="30"/>
      <c r="C18" s="20">
        <v>735</v>
      </c>
      <c r="D18" s="22"/>
    </row>
    <row r="19" ht="20.05" customHeight="1">
      <c r="B19" s="30"/>
      <c r="C19" s="20">
        <v>645</v>
      </c>
      <c r="D19" s="22"/>
    </row>
    <row r="20" ht="20.05" customHeight="1">
      <c r="B20" s="30"/>
      <c r="C20" s="20">
        <v>690</v>
      </c>
      <c r="D20" s="22"/>
    </row>
    <row r="21" ht="20.05" customHeight="1">
      <c r="B21" s="30"/>
      <c r="C21" s="20">
        <v>645</v>
      </c>
      <c r="D21" s="22"/>
    </row>
    <row r="22" ht="20.05" customHeight="1">
      <c r="B22" s="30"/>
      <c r="C22" s="20">
        <v>640</v>
      </c>
      <c r="D22" s="22"/>
    </row>
    <row r="23" ht="20.05" customHeight="1">
      <c r="B23" s="30"/>
      <c r="C23" s="20">
        <v>595</v>
      </c>
      <c r="D23" s="22"/>
    </row>
    <row r="24" ht="20.05" customHeight="1">
      <c r="B24" s="30"/>
      <c r="C24" s="20">
        <v>505</v>
      </c>
      <c r="D24" s="22"/>
    </row>
    <row r="25" ht="20.05" customHeight="1">
      <c r="B25" s="30"/>
      <c r="C25" s="20">
        <v>670</v>
      </c>
      <c r="D25" s="22"/>
    </row>
    <row r="26" ht="20.05" customHeight="1">
      <c r="B26" s="30"/>
      <c r="C26" s="20">
        <v>765</v>
      </c>
      <c r="D26" s="22"/>
    </row>
    <row r="27" ht="20.05" customHeight="1">
      <c r="B27" s="30"/>
      <c r="C27" s="20">
        <v>825</v>
      </c>
      <c r="D27" s="22"/>
    </row>
    <row r="28" ht="20.05" customHeight="1">
      <c r="B28" s="31">
        <v>2016</v>
      </c>
      <c r="C28" s="20">
        <v>800</v>
      </c>
      <c r="D28" s="22"/>
    </row>
    <row r="29" ht="20.05" customHeight="1">
      <c r="B29" s="30"/>
      <c r="C29" s="20">
        <v>915</v>
      </c>
      <c r="D29" s="22"/>
    </row>
    <row r="30" ht="20.05" customHeight="1">
      <c r="B30" s="30"/>
      <c r="C30" s="20">
        <v>895</v>
      </c>
      <c r="D30" s="22"/>
    </row>
    <row r="31" ht="20.05" customHeight="1">
      <c r="B31" s="30"/>
      <c r="C31" s="20">
        <v>925</v>
      </c>
      <c r="D31" s="22"/>
    </row>
    <row r="32" ht="20.05" customHeight="1">
      <c r="B32" s="30"/>
      <c r="C32" s="20">
        <v>830</v>
      </c>
      <c r="D32" s="22"/>
    </row>
    <row r="33" ht="20.05" customHeight="1">
      <c r="B33" s="30"/>
      <c r="C33" s="20">
        <v>925</v>
      </c>
      <c r="D33" s="22"/>
    </row>
    <row r="34" ht="20.05" customHeight="1">
      <c r="B34" s="30"/>
      <c r="C34" s="20">
        <v>970</v>
      </c>
      <c r="D34" s="22"/>
    </row>
    <row r="35" ht="20.05" customHeight="1">
      <c r="B35" s="30"/>
      <c r="C35" s="17">
        <v>1000</v>
      </c>
      <c r="D35" s="22"/>
    </row>
    <row r="36" ht="20.05" customHeight="1">
      <c r="B36" s="30"/>
      <c r="C36" s="20">
        <v>875</v>
      </c>
      <c r="D36" s="22"/>
    </row>
    <row r="37" ht="20.05" customHeight="1">
      <c r="B37" s="30"/>
      <c r="C37" s="20">
        <v>855</v>
      </c>
      <c r="D37" s="22"/>
    </row>
    <row r="38" ht="20.05" customHeight="1">
      <c r="B38" s="30"/>
      <c r="C38" s="20">
        <v>865</v>
      </c>
      <c r="D38" s="22"/>
    </row>
    <row r="39" ht="20.05" customHeight="1">
      <c r="B39" s="30"/>
      <c r="C39" s="20">
        <v>835</v>
      </c>
      <c r="D39" s="22"/>
    </row>
    <row r="40" ht="20.05" customHeight="1">
      <c r="B40" s="31">
        <v>2017</v>
      </c>
      <c r="C40" s="20">
        <v>745</v>
      </c>
      <c r="D40" s="22"/>
    </row>
    <row r="41" ht="20.05" customHeight="1">
      <c r="B41" s="30"/>
      <c r="C41" s="20">
        <v>770</v>
      </c>
      <c r="D41" s="22"/>
    </row>
    <row r="42" ht="20.05" customHeight="1">
      <c r="B42" s="30"/>
      <c r="C42" s="20">
        <v>825</v>
      </c>
      <c r="D42" s="22"/>
    </row>
    <row r="43" ht="20.05" customHeight="1">
      <c r="B43" s="30"/>
      <c r="C43" s="20">
        <v>935</v>
      </c>
      <c r="D43" s="22"/>
    </row>
    <row r="44" ht="20.05" customHeight="1">
      <c r="B44" s="30"/>
      <c r="C44" s="17">
        <v>1055</v>
      </c>
      <c r="D44" s="22"/>
    </row>
    <row r="45" ht="20.05" customHeight="1">
      <c r="B45" s="30"/>
      <c r="C45" s="17">
        <v>1060</v>
      </c>
      <c r="D45" s="22"/>
    </row>
    <row r="46" ht="20.05" customHeight="1">
      <c r="B46" s="30"/>
      <c r="C46" s="17">
        <v>1110</v>
      </c>
      <c r="D46" s="22"/>
    </row>
    <row r="47" ht="20.05" customHeight="1">
      <c r="B47" s="30"/>
      <c r="C47" s="17">
        <v>1090</v>
      </c>
      <c r="D47" s="22"/>
    </row>
    <row r="48" ht="20.05" customHeight="1">
      <c r="B48" s="30"/>
      <c r="C48" s="17">
        <v>1215</v>
      </c>
      <c r="D48" s="22"/>
    </row>
    <row r="49" ht="20.05" customHeight="1">
      <c r="B49" s="30"/>
      <c r="C49" s="17">
        <v>1255</v>
      </c>
      <c r="D49" s="22"/>
    </row>
    <row r="50" ht="20.05" customHeight="1">
      <c r="B50" s="30"/>
      <c r="C50" s="17">
        <v>1190</v>
      </c>
      <c r="D50" s="22"/>
    </row>
    <row r="51" ht="20.05" customHeight="1">
      <c r="B51" s="30"/>
      <c r="C51" s="17">
        <v>1155</v>
      </c>
      <c r="D51" s="22"/>
    </row>
    <row r="52" ht="20.05" customHeight="1">
      <c r="B52" s="31">
        <v>2018</v>
      </c>
      <c r="C52" s="17">
        <v>1350</v>
      </c>
      <c r="D52" s="22"/>
    </row>
    <row r="53" ht="20.05" customHeight="1">
      <c r="B53" s="30"/>
      <c r="C53" s="17">
        <v>1330</v>
      </c>
      <c r="D53" s="22"/>
    </row>
    <row r="54" ht="20.05" customHeight="1">
      <c r="B54" s="30"/>
      <c r="C54" s="17">
        <v>1330</v>
      </c>
      <c r="D54" s="22"/>
    </row>
    <row r="55" ht="20.05" customHeight="1">
      <c r="B55" s="30"/>
      <c r="C55" s="17">
        <v>1300</v>
      </c>
      <c r="D55" s="22"/>
    </row>
    <row r="56" ht="20.05" customHeight="1">
      <c r="B56" s="30"/>
      <c r="C56" s="17">
        <v>1250</v>
      </c>
      <c r="D56" s="22"/>
    </row>
    <row r="57" ht="20.05" customHeight="1">
      <c r="B57" s="30"/>
      <c r="C57" s="17">
        <v>1270</v>
      </c>
      <c r="D57" s="22"/>
    </row>
    <row r="58" ht="20.05" customHeight="1">
      <c r="B58" s="30"/>
      <c r="C58" s="17">
        <v>1310</v>
      </c>
      <c r="D58" s="22"/>
    </row>
    <row r="59" ht="20.05" customHeight="1">
      <c r="B59" s="30"/>
      <c r="C59" s="17">
        <v>1360</v>
      </c>
      <c r="D59" s="22"/>
    </row>
    <row r="60" ht="20.05" customHeight="1">
      <c r="B60" s="30"/>
      <c r="C60" s="17">
        <v>1440</v>
      </c>
      <c r="D60" s="22"/>
    </row>
    <row r="61" ht="20.05" customHeight="1">
      <c r="B61" s="30"/>
      <c r="C61" s="17">
        <v>1370</v>
      </c>
      <c r="D61" s="22"/>
    </row>
    <row r="62" ht="20.05" customHeight="1">
      <c r="B62" s="30"/>
      <c r="C62" s="17">
        <v>1615</v>
      </c>
      <c r="D62" s="22"/>
    </row>
    <row r="63" ht="20.05" customHeight="1">
      <c r="B63" s="30"/>
      <c r="C63" s="17">
        <v>1490</v>
      </c>
      <c r="D63" s="22"/>
    </row>
    <row r="64" ht="20.05" customHeight="1">
      <c r="B64" s="31">
        <v>2019</v>
      </c>
      <c r="C64" s="17">
        <v>1700</v>
      </c>
      <c r="D64" s="22"/>
    </row>
    <row r="65" ht="20.05" customHeight="1">
      <c r="B65" s="30"/>
      <c r="C65" s="17">
        <v>1755</v>
      </c>
      <c r="D65" s="22"/>
    </row>
    <row r="66" ht="20.05" customHeight="1">
      <c r="B66" s="30"/>
      <c r="C66" s="17">
        <v>1780</v>
      </c>
      <c r="D66" s="22"/>
    </row>
    <row r="67" ht="20.05" customHeight="1">
      <c r="B67" s="30"/>
      <c r="C67" s="17">
        <v>1650</v>
      </c>
      <c r="D67" s="22"/>
    </row>
    <row r="68" ht="20.05" customHeight="1">
      <c r="B68" s="30"/>
      <c r="C68" s="17">
        <v>1735</v>
      </c>
      <c r="D68" s="22"/>
    </row>
    <row r="69" ht="20.05" customHeight="1">
      <c r="B69" s="30"/>
      <c r="C69" s="17">
        <v>1810</v>
      </c>
      <c r="D69" s="22"/>
    </row>
    <row r="70" ht="20.05" customHeight="1">
      <c r="B70" s="30"/>
      <c r="C70" s="17">
        <v>1835</v>
      </c>
      <c r="D70" s="22"/>
    </row>
    <row r="71" ht="20.05" customHeight="1">
      <c r="B71" s="30"/>
      <c r="C71" s="17">
        <v>1725</v>
      </c>
      <c r="D71" s="18"/>
    </row>
    <row r="72" ht="20.05" customHeight="1">
      <c r="B72" s="30"/>
      <c r="C72" s="17">
        <v>1770</v>
      </c>
      <c r="D72" s="22"/>
    </row>
    <row r="73" ht="20.05" customHeight="1">
      <c r="B73" s="30"/>
      <c r="C73" s="17">
        <v>1690</v>
      </c>
      <c r="D73" s="22"/>
    </row>
    <row r="74" ht="20.05" customHeight="1">
      <c r="B74" s="30"/>
      <c r="C74" s="17">
        <v>1580</v>
      </c>
      <c r="D74" s="22"/>
    </row>
    <row r="75" ht="20.05" customHeight="1">
      <c r="B75" s="30"/>
      <c r="C75" s="17">
        <v>1495</v>
      </c>
      <c r="D75" s="22"/>
    </row>
    <row r="76" ht="20.05" customHeight="1">
      <c r="B76" s="31">
        <v>2020</v>
      </c>
      <c r="C76" s="17">
        <v>1720</v>
      </c>
      <c r="D76" s="22"/>
    </row>
    <row r="77" ht="20.05" customHeight="1">
      <c r="B77" s="30"/>
      <c r="C77" s="17">
        <v>1515</v>
      </c>
      <c r="D77" s="22"/>
    </row>
    <row r="78" ht="20.05" customHeight="1">
      <c r="B78" s="30"/>
      <c r="C78" s="17">
        <v>1300</v>
      </c>
      <c r="D78" s="22"/>
    </row>
    <row r="79" ht="20.05" customHeight="1">
      <c r="B79" s="30"/>
      <c r="C79" s="17">
        <v>1520</v>
      </c>
      <c r="D79" s="22"/>
    </row>
    <row r="80" ht="20.05" customHeight="1">
      <c r="B80" s="30"/>
      <c r="C80" s="17">
        <v>1555</v>
      </c>
      <c r="D80" s="22"/>
    </row>
    <row r="81" ht="20.05" customHeight="1">
      <c r="B81" s="30"/>
      <c r="C81" s="17">
        <v>1510</v>
      </c>
      <c r="D81" s="22"/>
    </row>
    <row r="82" ht="20.05" customHeight="1">
      <c r="B82" s="30"/>
      <c r="C82" s="17">
        <v>1750</v>
      </c>
      <c r="D82" s="22"/>
    </row>
    <row r="83" ht="20.05" customHeight="1">
      <c r="B83" s="30"/>
      <c r="C83" s="17">
        <v>1545</v>
      </c>
      <c r="D83" s="22"/>
    </row>
    <row r="84" ht="20.05" customHeight="1">
      <c r="B84" s="30"/>
      <c r="C84" s="17">
        <v>1595</v>
      </c>
      <c r="D84" s="22"/>
    </row>
    <row r="85" ht="20.05" customHeight="1">
      <c r="B85" s="30"/>
      <c r="C85" s="17">
        <v>1565</v>
      </c>
      <c r="D85" s="22"/>
    </row>
    <row r="86" ht="20.05" customHeight="1">
      <c r="B86" s="30"/>
      <c r="C86" s="17">
        <v>1585</v>
      </c>
      <c r="D86" s="22"/>
    </row>
    <row r="87" ht="20.05" customHeight="1">
      <c r="B87" s="30"/>
      <c r="C87" s="17">
        <v>1715</v>
      </c>
      <c r="D87" s="22"/>
    </row>
    <row r="88" ht="20.05" customHeight="1">
      <c r="B88" s="31">
        <v>2021</v>
      </c>
      <c r="C88" s="17">
        <v>1560</v>
      </c>
      <c r="D88" s="22"/>
    </row>
    <row r="89" ht="20.05" customHeight="1">
      <c r="B89" s="30"/>
      <c r="C89" s="17">
        <v>1525</v>
      </c>
      <c r="D89" s="22"/>
    </row>
    <row r="90" ht="20.05" customHeight="1">
      <c r="B90" s="30"/>
      <c r="C90" s="17">
        <v>1525</v>
      </c>
      <c r="D90" s="22"/>
    </row>
    <row r="91" ht="20.05" customHeight="1">
      <c r="B91" s="30"/>
      <c r="C91" s="17">
        <v>1480</v>
      </c>
      <c r="D91" s="22"/>
    </row>
    <row r="92" ht="20.05" customHeight="1">
      <c r="B92" s="30"/>
      <c r="C92" s="17">
        <v>1495</v>
      </c>
      <c r="D92" s="22"/>
    </row>
    <row r="93" ht="20.05" customHeight="1">
      <c r="B93" s="30"/>
      <c r="C93" s="17">
        <v>1250</v>
      </c>
      <c r="D93" s="22"/>
    </row>
    <row r="94" ht="20.05" customHeight="1">
      <c r="B94" s="30"/>
      <c r="C94" s="17">
        <v>1320</v>
      </c>
      <c r="D94" s="22"/>
    </row>
    <row r="95" ht="20.05" customHeight="1">
      <c r="B95" s="30"/>
      <c r="C95" s="17">
        <v>1390</v>
      </c>
      <c r="D95" s="22"/>
    </row>
    <row r="96" ht="20.05" customHeight="1">
      <c r="B96" s="30"/>
      <c r="C96" s="17">
        <v>1270</v>
      </c>
      <c r="D96" s="22"/>
    </row>
    <row r="97" ht="20.05" customHeight="1">
      <c r="B97" s="30"/>
      <c r="C97" s="17">
        <v>1410</v>
      </c>
      <c r="D97" s="22"/>
    </row>
    <row r="98" ht="20.05" customHeight="1">
      <c r="B98" s="30"/>
      <c r="C98" s="17">
        <v>1490</v>
      </c>
      <c r="D98" s="18">
        <f>C98</f>
        <v>1490</v>
      </c>
    </row>
    <row r="99" ht="20.05" customHeight="1">
      <c r="B99" s="30"/>
      <c r="C99" s="17"/>
      <c r="D99" s="18">
        <f>'Model'!F43</f>
        <v>2115.9723633553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