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ales - Profit quarterly" sheetId="2" r:id="rId5"/>
    <sheet name="Cash Flow - Cash Flow quarterly" sheetId="3" r:id="rId6"/>
    <sheet name="Balance sheet - Assets" sheetId="4" r:id="rId7"/>
    <sheet name="Share price - Share price" sheetId="5" r:id="rId8"/>
    <sheet name="Model - Financial model" sheetId="6" r:id="rId9"/>
    <sheet name="Valuation  - Valuation" sheetId="7" r:id="rId10"/>
  </sheets>
</workbook>
</file>

<file path=xl/sharedStrings.xml><?xml version="1.0" encoding="utf-8"?>
<sst xmlns="http://schemas.openxmlformats.org/spreadsheetml/2006/main" uniqueCount="81">
  <si>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</si>
  <si>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</si>
  <si>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</si>
  <si>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</si>
  <si>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Sales</t>
  </si>
  <si>
    <t>Profit quarterly</t>
  </si>
  <si>
    <t>Sales - Profit quarterly</t>
  </si>
  <si>
    <t>$m</t>
  </si>
  <si>
    <t>Products</t>
  </si>
  <si>
    <t>Services</t>
  </si>
  <si>
    <t xml:space="preserve">Forecast </t>
  </si>
  <si>
    <t xml:space="preserve">Sales growth </t>
  </si>
  <si>
    <t xml:space="preserve">Cost ratio </t>
  </si>
  <si>
    <t>Cash Flow</t>
  </si>
  <si>
    <t>Cash Flow quarterly</t>
  </si>
  <si>
    <t>Cash Flow - Cash Flow quarterly</t>
  </si>
  <si>
    <t>Net income</t>
  </si>
  <si>
    <t>Depreciation</t>
  </si>
  <si>
    <t>Others</t>
  </si>
  <si>
    <t xml:space="preserve">Working capital </t>
  </si>
  <si>
    <t>PPE</t>
  </si>
  <si>
    <t xml:space="preserve">Operating </t>
  </si>
  <si>
    <t xml:space="preserve">Investment </t>
  </si>
  <si>
    <t>Finance</t>
  </si>
  <si>
    <t xml:space="preserve">Free cashflow </t>
  </si>
  <si>
    <t>Capital paid (raised)</t>
  </si>
  <si>
    <t>Balance sheet</t>
  </si>
  <si>
    <t>Assets</t>
  </si>
  <si>
    <t>Balance sheet - Assets</t>
  </si>
  <si>
    <t>Cash</t>
  </si>
  <si>
    <t>Other assets</t>
  </si>
  <si>
    <t xml:space="preserve">Depreciation </t>
  </si>
  <si>
    <t xml:space="preserve">Liabilities </t>
  </si>
  <si>
    <t xml:space="preserve">Equity </t>
  </si>
  <si>
    <t xml:space="preserve">Check </t>
  </si>
  <si>
    <t>Net cash</t>
  </si>
  <si>
    <t>Share price</t>
  </si>
  <si>
    <t>Share price - Share price</t>
  </si>
  <si>
    <t>Volume</t>
  </si>
  <si>
    <t>AAPL</t>
  </si>
  <si>
    <t>Target</t>
  </si>
  <si>
    <t>Model</t>
  </si>
  <si>
    <t>Financial model</t>
  </si>
  <si>
    <t>Model - Financial model</t>
  </si>
  <si>
    <t>1Q 2021</t>
  </si>
  <si>
    <t>2Q 2021</t>
  </si>
  <si>
    <t>3Q 2021</t>
  </si>
  <si>
    <t>4Q 2021</t>
  </si>
  <si>
    <t>Cash flow</t>
  </si>
  <si>
    <t>Growth</t>
  </si>
  <si>
    <t>Cash cost ratio</t>
  </si>
  <si>
    <t xml:space="preserve">Cash cost </t>
  </si>
  <si>
    <t>Operating cashflow</t>
  </si>
  <si>
    <t>Investment cashflow</t>
  </si>
  <si>
    <t>Finance cashflow</t>
  </si>
  <si>
    <t>Equity</t>
  </si>
  <si>
    <t xml:space="preserve">Cash flow before revolver </t>
  </si>
  <si>
    <t xml:space="preserve">Revolver </t>
  </si>
  <si>
    <t>Beginning cash</t>
  </si>
  <si>
    <t>Change</t>
  </si>
  <si>
    <t>Ending cash</t>
  </si>
  <si>
    <t>Profit</t>
  </si>
  <si>
    <t>Cash costs</t>
  </si>
  <si>
    <t xml:space="preserve">Net profit </t>
  </si>
  <si>
    <t>Net LT assets</t>
  </si>
  <si>
    <t xml:space="preserve">Valuation </t>
  </si>
  <si>
    <t>Valuation</t>
  </si>
  <si>
    <t>Valuation  - Valuation</t>
  </si>
  <si>
    <t xml:space="preserve">Target value </t>
  </si>
  <si>
    <t xml:space="preserve">Discount </t>
  </si>
  <si>
    <t xml:space="preserve">Adjusted value </t>
  </si>
  <si>
    <t>Shares</t>
  </si>
  <si>
    <t xml:space="preserve">Target price </t>
  </si>
  <si>
    <t xml:space="preserve">Current value </t>
  </si>
  <si>
    <t>P/capital paid</t>
  </si>
  <si>
    <t>P/sales</t>
  </si>
  <si>
    <t>P/assets</t>
  </si>
  <si>
    <t xml:space="preserve">P/equity </t>
  </si>
  <si>
    <t xml:space="preserve">Profitability </t>
  </si>
  <si>
    <t xml:space="preserve">Profit growth </t>
  </si>
  <si>
    <t xml:space="preserve">Yield </t>
  </si>
</sst>
</file>

<file path=xl/styles.xml><?xml version="1.0" encoding="utf-8"?>
<styleSheet xmlns="http://schemas.openxmlformats.org/spreadsheetml/2006/main">
  <numFmts count="6">
    <numFmt numFmtId="0" formatCode="General"/>
    <numFmt numFmtId="59" formatCode="#,##0%_);[Red]\(#,##0%\)"/>
    <numFmt numFmtId="60" formatCode="0%_);[Red]\(0%\)"/>
    <numFmt numFmtId="61" formatCode="0.0%"/>
    <numFmt numFmtId="62" formatCode="#,##0.0"/>
    <numFmt numFmtId="63" formatCode="#,##0.0%"/>
  </numFmts>
  <fonts count="7">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
      <sz val="12"/>
      <color indexed="8"/>
      <name val="Helvetica"/>
    </font>
    <font>
      <sz val="12"/>
      <color indexed="20"/>
      <name val="Helvetica Neue"/>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47">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horizontal="right" vertical="top" wrapText="1"/>
    </xf>
    <xf numFmtId="0" fontId="4" fillId="5" borderId="2" applyNumberFormat="0" applyFont="1" applyFill="1" applyBorder="1" applyAlignment="1" applyProtection="0">
      <alignment vertical="top" wrapText="1"/>
    </xf>
    <xf numFmtId="38" fontId="0" borderId="3" applyNumberFormat="1" applyFont="1" applyFill="0" applyBorder="1" applyAlignment="1" applyProtection="0">
      <alignment vertical="top" wrapText="1"/>
    </xf>
    <xf numFmtId="38" fontId="0" borderId="4" applyNumberFormat="1" applyFont="1" applyFill="0" applyBorder="1" applyAlignment="1" applyProtection="0">
      <alignment vertical="top" wrapText="1"/>
    </xf>
    <xf numFmtId="3" fontId="0" borderId="4" applyNumberFormat="1" applyFont="1" applyFill="0" applyBorder="1" applyAlignment="1" applyProtection="0">
      <alignment vertical="top" wrapText="1"/>
    </xf>
    <xf numFmtId="0" fontId="0" borderId="4" applyNumberFormat="0" applyFont="1" applyFill="0" applyBorder="1" applyAlignment="1" applyProtection="0">
      <alignment vertical="top" wrapText="1"/>
    </xf>
    <xf numFmtId="59" fontId="0" borderId="4" applyNumberFormat="1" applyFont="1" applyFill="0" applyBorder="1" applyAlignment="1" applyProtection="0">
      <alignment vertical="top" wrapText="1"/>
    </xf>
    <xf numFmtId="0" fontId="4" fillId="5" borderId="5" applyNumberFormat="1" applyFont="1" applyFill="1" applyBorder="1" applyAlignment="1" applyProtection="0">
      <alignment vertical="top" wrapText="1"/>
    </xf>
    <xf numFmtId="38" fontId="0" borderId="6" applyNumberFormat="1" applyFont="1" applyFill="0" applyBorder="1" applyAlignment="1" applyProtection="0">
      <alignment vertical="top" wrapText="1"/>
    </xf>
    <xf numFmtId="38" fontId="0" borderId="7" applyNumberFormat="1" applyFont="1" applyFill="0" applyBorder="1" applyAlignment="1" applyProtection="0">
      <alignment vertical="top" wrapText="1"/>
    </xf>
    <xf numFmtId="3" fontId="0" borderId="7" applyNumberFormat="1" applyFont="1" applyFill="0" applyBorder="1" applyAlignment="1" applyProtection="0">
      <alignment vertical="top" wrapText="1"/>
    </xf>
    <xf numFmtId="59" fontId="0" borderId="7" applyNumberFormat="1" applyFont="1" applyFill="0" applyBorder="1" applyAlignment="1" applyProtection="0">
      <alignment vertical="top" wrapText="1"/>
    </xf>
    <xf numFmtId="0" fontId="4" fillId="5" borderId="5" applyNumberFormat="0" applyFont="1" applyFill="1" applyBorder="1" applyAlignment="1" applyProtection="0">
      <alignment vertical="top" wrapText="1"/>
    </xf>
    <xf numFmtId="0" fontId="0" borderId="7" applyNumberFormat="0" applyFont="1" applyFill="0" applyBorder="1" applyAlignment="1" applyProtection="0">
      <alignment vertical="top" wrapText="1"/>
    </xf>
    <xf numFmtId="3" fontId="0" borderId="6"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4" fillId="5" borderId="2"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4" fillId="4" borderId="1" applyNumberFormat="0" applyFont="1" applyFill="1" applyBorder="1" applyAlignment="1" applyProtection="0">
      <alignment vertical="top" wrapText="1"/>
    </xf>
    <xf numFmtId="49" fontId="4" fillId="4" borderId="1" applyNumberFormat="1" applyFont="1" applyFill="1" applyBorder="1" applyAlignment="1" applyProtection="0">
      <alignment vertical="top" wrapText="1"/>
    </xf>
    <xf numFmtId="3" fontId="0" borderId="3" applyNumberFormat="1" applyFont="1" applyFill="0" applyBorder="1" applyAlignment="1" applyProtection="0">
      <alignment vertical="top" wrapText="1"/>
    </xf>
    <xf numFmtId="0" fontId="0" borderId="7"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4" fillId="6" borderId="2" applyNumberFormat="1" applyFont="1" applyFill="1" applyBorder="1" applyAlignment="1" applyProtection="0">
      <alignment vertical="top" wrapText="1"/>
    </xf>
    <xf numFmtId="0" fontId="0" borderId="3" applyNumberFormat="0" applyFont="1" applyFill="0" applyBorder="1" applyAlignment="1" applyProtection="0">
      <alignment vertical="top" wrapText="1"/>
    </xf>
    <xf numFmtId="49" fontId="4" fillId="5" borderId="5" applyNumberFormat="1" applyFont="1" applyFill="1" applyBorder="1" applyAlignment="1" applyProtection="0">
      <alignment vertical="top" wrapText="1"/>
    </xf>
    <xf numFmtId="60" fontId="0" borderId="6" applyNumberFormat="1" applyFont="1" applyFill="0" applyBorder="1" applyAlignment="1" applyProtection="0">
      <alignment vertical="top" wrapText="1"/>
    </xf>
    <xf numFmtId="60" fontId="0" borderId="7" applyNumberFormat="1" applyFont="1" applyFill="0" applyBorder="1" applyAlignment="1" applyProtection="0">
      <alignment vertical="top" wrapText="1"/>
    </xf>
    <xf numFmtId="49" fontId="4" fillId="7" borderId="5" applyNumberFormat="1" applyFont="1" applyFill="1" applyBorder="1" applyAlignment="1" applyProtection="0">
      <alignment vertical="top" wrapText="1"/>
    </xf>
    <xf numFmtId="0" fontId="0" borderId="6" applyNumberFormat="0" applyFont="1" applyFill="0" applyBorder="1" applyAlignment="1" applyProtection="0">
      <alignment vertical="top" wrapText="1"/>
    </xf>
    <xf numFmtId="49" fontId="4" fillId="8" borderId="5" applyNumberFormat="1" applyFont="1" applyFill="1" applyBorder="1" applyAlignment="1" applyProtection="0">
      <alignment vertical="top" wrapText="1"/>
    </xf>
    <xf numFmtId="0" fontId="0" borderId="6"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4" fillId="5" borderId="2" applyNumberFormat="1" applyFont="1" applyFill="1" applyBorder="1" applyAlignment="1" applyProtection="0">
      <alignment vertical="top" wrapText="1"/>
    </xf>
    <xf numFmtId="61" fontId="0" borderId="6" applyNumberFormat="1" applyFont="1" applyFill="0" applyBorder="1" applyAlignment="1" applyProtection="0">
      <alignment vertical="top" wrapText="1"/>
    </xf>
    <xf numFmtId="61" fontId="0" borderId="7" applyNumberFormat="1" applyFont="1" applyFill="0" applyBorder="1" applyAlignment="1" applyProtection="0">
      <alignment vertical="top" wrapText="1"/>
    </xf>
    <xf numFmtId="62" fontId="0" borderId="7" applyNumberFormat="1" applyFont="1" applyFill="0" applyBorder="1" applyAlignment="1" applyProtection="0">
      <alignment vertical="top" wrapText="1"/>
    </xf>
    <xf numFmtId="63" fontId="0" borderId="7"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96d35f"/>
      <rgbColor rgb="fffff76b"/>
      <rgbColor rgb="ff52d6fc"/>
      <rgbColor rgb="ffb8b8b8"/>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34988"/>
          <c:y val="0.0426778"/>
          <c:w val="0.858204"/>
          <c:h val="0.886395"/>
        </c:manualLayout>
      </c:layout>
      <c:lineChart>
        <c:grouping val="standard"/>
        <c:varyColors val="0"/>
        <c:ser>
          <c:idx val="0"/>
          <c:order val="0"/>
          <c:tx>
            <c:strRef>
              <c:f>'Cash Flow - Cash Flow quarterly'!$K$3</c:f>
              <c:strCache>
                <c:ptCount val="1"/>
                <c:pt idx="0">
                  <c:v>Free cashflow </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'Cash Flow - Cash Flow quarterly'!$B$4:$B$28</c:f>
              <c:strCache>
                <c:ptCount val="25"/>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pt idx="24">
                  <c:v/>
                </c:pt>
              </c:strCache>
            </c:strRef>
          </c:cat>
          <c:val>
            <c:numRef>
              <c:f>'Cash Flow - Cash Flow quarterly'!$K$4:$K$28</c:f>
              <c:numCache>
                <c:ptCount val="24"/>
                <c:pt idx="0">
                  <c:v>16288.000000</c:v>
                </c:pt>
                <c:pt idx="1">
                  <c:v>12945.000000</c:v>
                </c:pt>
                <c:pt idx="2">
                  <c:v>9857.000000</c:v>
                </c:pt>
                <c:pt idx="3">
                  <c:v>23851.000000</c:v>
                </c:pt>
                <c:pt idx="4">
                  <c:v>9265.000000</c:v>
                </c:pt>
                <c:pt idx="5">
                  <c:v>7825.000000</c:v>
                </c:pt>
                <c:pt idx="6">
                  <c:v>12556.000000</c:v>
                </c:pt>
                <c:pt idx="7">
                  <c:v>23900.000000</c:v>
                </c:pt>
                <c:pt idx="8">
                  <c:v>9595.000000</c:v>
                </c:pt>
                <c:pt idx="9">
                  <c:v>6395.000000</c:v>
                </c:pt>
                <c:pt idx="10">
                  <c:v>11884.000000</c:v>
                </c:pt>
                <c:pt idx="11">
                  <c:v>-65.000000</c:v>
                </c:pt>
                <c:pt idx="12">
                  <c:v>10935.000000</c:v>
                </c:pt>
                <c:pt idx="13">
                  <c:v>11221.000000</c:v>
                </c:pt>
                <c:pt idx="14">
                  <c:v>16482.000000</c:v>
                </c:pt>
                <c:pt idx="15">
                  <c:v>23335.000000</c:v>
                </c:pt>
                <c:pt idx="16">
                  <c:v>8792.000000</c:v>
                </c:pt>
                <c:pt idx="17">
                  <c:v>9636.000000</c:v>
                </c:pt>
                <c:pt idx="18">
                  <c:v>17133.000000</c:v>
                </c:pt>
                <c:pt idx="19">
                  <c:v>28409.000000</c:v>
                </c:pt>
                <c:pt idx="20">
                  <c:v>11458.000000</c:v>
                </c:pt>
                <c:pt idx="21">
                  <c:v>14706.000000</c:v>
                </c:pt>
                <c:pt idx="22">
                  <c:v>18792.000000</c:v>
                </c:pt>
                <c:pt idx="23">
                  <c:v>35263.000000</c:v>
                </c:pt>
              </c:numCache>
            </c:numRef>
          </c:val>
          <c:smooth val="0"/>
        </c:ser>
        <c:ser>
          <c:idx val="1"/>
          <c:order val="1"/>
          <c:tx>
            <c:strRef>
              <c:f>'Cash Flow - Cash Flow quarterly'!$L$3</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'Cash Flow - Cash Flow quarterly'!$B$4:$B$28</c:f>
              <c:strCache>
                <c:ptCount val="25"/>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pt idx="24">
                  <c:v/>
                </c:pt>
              </c:strCache>
            </c:strRef>
          </c:cat>
          <c:val>
            <c:numRef>
              <c:f>'Cash Flow - Cash Flow quarterly'!$L$4:$L$28</c:f>
              <c:numCache>
                <c:ptCount val="2"/>
                <c:pt idx="23">
                  <c:v>20054.750000</c:v>
                </c:pt>
                <c:pt idx="24">
                  <c:v>23648.397906</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1270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17777.8"/>
        <c:minorUnit val="8888.89"/>
      </c:valAx>
      <c:spPr>
        <a:noFill/>
        <a:ln w="12700" cap="flat">
          <a:noFill/>
          <a:miter lim="400000"/>
        </a:ln>
        <a:effectLst/>
      </c:spPr>
    </c:plotArea>
    <c:legend>
      <c:legendPos val="r"/>
      <c:layout>
        <c:manualLayout>
          <c:xMode val="edge"/>
          <c:yMode val="edge"/>
          <c:x val="0.424892"/>
          <c:y val="0.0697896"/>
          <c:w val="0.270038"/>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36462"/>
          <c:y val="0.0426778"/>
          <c:w val="0.85671"/>
          <c:h val="0.886395"/>
        </c:manualLayout>
      </c:layout>
      <c:lineChart>
        <c:grouping val="standard"/>
        <c:varyColors val="0"/>
        <c:ser>
          <c:idx val="0"/>
          <c:order val="0"/>
          <c:tx>
            <c:strRef>
              <c:f>'Sales - Profit quarterly'!$E$3</c:f>
              <c:strCache>
                <c:ptCount val="1"/>
                <c:pt idx="0">
                  <c:v>Sales</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trendline>
            <c:spPr>
              <a:noFill/>
              <a:ln w="25400" cap="flat">
                <a:solidFill>
                  <a:schemeClr val="accent1"/>
                </a:solidFill>
                <a:prstDash val="solid"/>
                <a:miter lim="400000"/>
              </a:ln>
              <a:effectLst>
                <a:outerShdw sx="100000" sy="100000" kx="0" ky="0" algn="tl" rotWithShape="1" blurRad="12700" dist="25400" dir="7320000">
                  <a:srgbClr val="000000">
                    <a:alpha val="25000"/>
                  </a:srgbClr>
                </a:outerShdw>
              </a:effectLst>
            </c:spPr>
            <c:trendlineType val="poly"/>
            <c:order val="2"/>
            <c:forward val="0"/>
            <c:backward val="0"/>
            <c:dispRSqr val="0"/>
            <c:dispEq val="0"/>
          </c:trendline>
          <c:cat>
            <c:strRef>
              <c:f>'Sales - Profit quarterly'!$B$5:$B$32</c:f>
              <c:strCache>
                <c:ptCount val="28"/>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pt idx="24">
                  <c:v>2021</c:v>
                </c:pt>
                <c:pt idx="25">
                  <c:v/>
                </c:pt>
                <c:pt idx="26">
                  <c:v/>
                </c:pt>
                <c:pt idx="27">
                  <c:v/>
                </c:pt>
              </c:strCache>
            </c:strRef>
          </c:cat>
          <c:val>
            <c:numRef>
              <c:f>'Sales - Profit quarterly'!$E$5:$E$32</c:f>
              <c:numCache>
                <c:ptCount val="24"/>
                <c:pt idx="0">
                  <c:v>58010.000000</c:v>
                </c:pt>
                <c:pt idx="1">
                  <c:v>49605.000000</c:v>
                </c:pt>
                <c:pt idx="2">
                  <c:v>51501.000000</c:v>
                </c:pt>
                <c:pt idx="3">
                  <c:v>75872.000000</c:v>
                </c:pt>
                <c:pt idx="4">
                  <c:v>50557.000000</c:v>
                </c:pt>
                <c:pt idx="5">
                  <c:v>42358.000000</c:v>
                </c:pt>
                <c:pt idx="6">
                  <c:v>46852.000000</c:v>
                </c:pt>
                <c:pt idx="7">
                  <c:v>78351.000000</c:v>
                </c:pt>
                <c:pt idx="8">
                  <c:v>52896.000000</c:v>
                </c:pt>
                <c:pt idx="9">
                  <c:v>45408.000000</c:v>
                </c:pt>
                <c:pt idx="10">
                  <c:v>52579.000000</c:v>
                </c:pt>
                <c:pt idx="11">
                  <c:v>88293.000000</c:v>
                </c:pt>
                <c:pt idx="12">
                  <c:v>61137.000000</c:v>
                </c:pt>
                <c:pt idx="13">
                  <c:v>53265.000000</c:v>
                </c:pt>
                <c:pt idx="14">
                  <c:v>62900.000000</c:v>
                </c:pt>
                <c:pt idx="15">
                  <c:v>84310.000000</c:v>
                </c:pt>
                <c:pt idx="16">
                  <c:v>58015.000000</c:v>
                </c:pt>
                <c:pt idx="17">
                  <c:v>53809.000000</c:v>
                </c:pt>
                <c:pt idx="18">
                  <c:v>64040.000000</c:v>
                </c:pt>
                <c:pt idx="19">
                  <c:v>91819.000000</c:v>
                </c:pt>
                <c:pt idx="20">
                  <c:v>58313.000000</c:v>
                </c:pt>
                <c:pt idx="21">
                  <c:v>59685.000000</c:v>
                </c:pt>
                <c:pt idx="22">
                  <c:v>64698.000000</c:v>
                </c:pt>
                <c:pt idx="23">
                  <c:v>111439.000000</c:v>
                </c:pt>
              </c:numCache>
            </c:numRef>
          </c:val>
          <c:smooth val="0"/>
        </c:ser>
        <c:ser>
          <c:idx val="1"/>
          <c:order val="1"/>
          <c:tx>
            <c:strRef>
              <c:f>'Sales - Profit quarterly'!$F$3</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'Sales - Profit quarterly'!$B$5:$B$32</c:f>
              <c:strCache>
                <c:ptCount val="28"/>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pt idx="24">
                  <c:v>2021</c:v>
                </c:pt>
                <c:pt idx="25">
                  <c:v/>
                </c:pt>
                <c:pt idx="26">
                  <c:v/>
                </c:pt>
                <c:pt idx="27">
                  <c:v/>
                </c:pt>
              </c:strCache>
            </c:strRef>
          </c:cat>
          <c:val>
            <c:numRef>
              <c:f>'Sales - Profit quarterly'!$F$5:$F$32</c:f>
              <c:numCache>
                <c:ptCount val="8"/>
                <c:pt idx="20">
                  <c:v>63816.500000</c:v>
                </c:pt>
                <c:pt idx="21">
                  <c:v>48428.100000</c:v>
                </c:pt>
                <c:pt idx="22">
                  <c:v>62759.200000</c:v>
                </c:pt>
                <c:pt idx="23">
                  <c:v>90577.200000</c:v>
                </c:pt>
                <c:pt idx="24">
                  <c:v>81350.470000</c:v>
                </c:pt>
                <c:pt idx="25">
                  <c:v>75655.937100</c:v>
                </c:pt>
                <c:pt idx="26">
                  <c:v>90787.124520</c:v>
                </c:pt>
                <c:pt idx="27">
                  <c:v>118023.261876</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min val="40000"/>
        </c:scaling>
        <c:delete val="0"/>
        <c:axPos val="l"/>
        <c:majorGridlines>
          <c:spPr>
            <a:ln w="1270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20000"/>
        <c:minorUnit val="10000"/>
      </c:valAx>
      <c:spPr>
        <a:noFill/>
        <a:ln w="12700" cap="flat">
          <a:noFill/>
          <a:miter lim="400000"/>
        </a:ln>
        <a:effectLst/>
      </c:spPr>
    </c:plotArea>
    <c:legend>
      <c:legendPos val="r"/>
      <c:layout>
        <c:manualLayout>
          <c:xMode val="edge"/>
          <c:yMode val="edge"/>
          <c:x val="0.252373"/>
          <c:y val="0.0771191"/>
          <c:w val="0.199153"/>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05622"/>
          <c:y val="0.0426778"/>
          <c:w val="0.862186"/>
          <c:h val="0.886395"/>
        </c:manualLayout>
      </c:layout>
      <c:lineChart>
        <c:grouping val="standard"/>
        <c:varyColors val="0"/>
        <c:ser>
          <c:idx val="0"/>
          <c:order val="0"/>
          <c:tx>
            <c:strRef>
              <c:f>'Sales - Profit quarterly'!$H$3</c:f>
              <c:strCache>
                <c:ptCount val="1"/>
                <c:pt idx="0">
                  <c:v>Cost ratio </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'Sales - Profit quarterly'!$B$5:$B$29</c:f>
              <c:strCache>
                <c:ptCount val="25"/>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pt idx="24">
                  <c:v>2021</c:v>
                </c:pt>
              </c:strCache>
            </c:strRef>
          </c:cat>
          <c:val>
            <c:numRef>
              <c:f>'Sales - Profit quarterly'!$H$5:$H$29</c:f>
              <c:numCache>
                <c:ptCount val="24"/>
                <c:pt idx="0">
                  <c:v>-0.723358</c:v>
                </c:pt>
                <c:pt idx="1">
                  <c:v>-0.722588</c:v>
                </c:pt>
                <c:pt idx="2">
                  <c:v>-0.723442</c:v>
                </c:pt>
                <c:pt idx="3">
                  <c:v>-0.719066</c:v>
                </c:pt>
                <c:pt idx="4">
                  <c:v>-0.721977</c:v>
                </c:pt>
                <c:pt idx="5">
                  <c:v>-0.731432</c:v>
                </c:pt>
                <c:pt idx="6">
                  <c:v>-0.731239</c:v>
                </c:pt>
                <c:pt idx="7">
                  <c:v>-0.717502</c:v>
                </c:pt>
                <c:pt idx="8">
                  <c:v>-0.724403</c:v>
                </c:pt>
                <c:pt idx="9">
                  <c:v>-0.729915</c:v>
                </c:pt>
                <c:pt idx="10">
                  <c:v>-0.726659</c:v>
                </c:pt>
                <c:pt idx="11">
                  <c:v>-0.726977</c:v>
                </c:pt>
                <c:pt idx="12">
                  <c:v>-0.707068</c:v>
                </c:pt>
                <c:pt idx="13">
                  <c:v>-0.708345</c:v>
                </c:pt>
                <c:pt idx="14">
                  <c:v>-0.710270</c:v>
                </c:pt>
                <c:pt idx="15">
                  <c:v>-0.704436</c:v>
                </c:pt>
                <c:pt idx="16">
                  <c:v>-0.722227</c:v>
                </c:pt>
                <c:pt idx="17">
                  <c:v>-0.731030</c:v>
                </c:pt>
                <c:pt idx="18">
                  <c:v>-0.713242</c:v>
                </c:pt>
                <c:pt idx="19">
                  <c:v>-0.713883</c:v>
                </c:pt>
                <c:pt idx="20">
                  <c:v>-0.737400</c:v>
                </c:pt>
                <c:pt idx="21">
                  <c:v>-0.720181</c:v>
                </c:pt>
                <c:pt idx="22">
                  <c:v>-0.741893</c:v>
                </c:pt>
                <c:pt idx="23">
                  <c:v>-0.700392</c:v>
                </c:pt>
              </c:numCache>
            </c:numRef>
          </c:val>
          <c:smooth val="0"/>
        </c:ser>
        <c:ser>
          <c:idx val="1"/>
          <c:order val="1"/>
          <c:tx>
            <c:strRef>
              <c:f>'Sales - Profit quarterly'!$I$3</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'Sales - Profit quarterly'!$B$5:$B$29</c:f>
              <c:strCache>
                <c:ptCount val="25"/>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pt idx="24">
                  <c:v>2021</c:v>
                </c:pt>
              </c:strCache>
            </c:strRef>
          </c:cat>
          <c:val>
            <c:numRef>
              <c:f>'Sales - Profit quarterly'!$I$5:$I$29</c:f>
              <c:numCache>
                <c:ptCount val="2"/>
                <c:pt idx="23">
                  <c:v>-0.700392</c:v>
                </c:pt>
                <c:pt idx="24">
                  <c:v>-0.714010</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max val="-0.6"/>
        </c:scaling>
        <c:delete val="0"/>
        <c:axPos val="l"/>
        <c:majorGridlines>
          <c:spPr>
            <a:ln w="1270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0.0375"/>
        <c:minorUnit val="0.01875"/>
      </c:valAx>
      <c:spPr>
        <a:noFill/>
        <a:ln w="12700" cap="flat">
          <a:noFill/>
          <a:miter lim="400000"/>
        </a:ln>
        <a:effectLst/>
      </c:spPr>
    </c:plotArea>
    <c:legend>
      <c:legendPos val="r"/>
      <c:layout>
        <c:manualLayout>
          <c:xMode val="edge"/>
          <c:yMode val="edge"/>
          <c:x val="0.400964"/>
          <c:y val="0.0869616"/>
          <c:w val="0.271501"/>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46388"/>
          <c:y val="0.0426778"/>
          <c:w val="0.847002"/>
          <c:h val="0.886395"/>
        </c:manualLayout>
      </c:layout>
      <c:lineChart>
        <c:grouping val="standard"/>
        <c:varyColors val="0"/>
        <c:ser>
          <c:idx val="0"/>
          <c:order val="0"/>
          <c:tx>
            <c:strRef>
              <c:f>'Balance sheet - Assets'!$J$3</c:f>
              <c:strCache>
                <c:ptCount val="1"/>
                <c:pt idx="0">
                  <c:v>Net cash</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'Balance sheet - Assets'!$B$4:$B$28</c:f>
              <c:strCache>
                <c:ptCount val="25"/>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pt idx="24">
                  <c:v/>
                </c:pt>
              </c:strCache>
            </c:strRef>
          </c:cat>
          <c:val>
            <c:numRef>
              <c:f>'Balance sheet - Assets'!$J$4:$J$28</c:f>
              <c:numCache>
                <c:ptCount val="24"/>
                <c:pt idx="0">
                  <c:v>-117699.000000</c:v>
                </c:pt>
                <c:pt idx="1">
                  <c:v>-132155.000000</c:v>
                </c:pt>
                <c:pt idx="2">
                  <c:v>-149870.000000</c:v>
                </c:pt>
                <c:pt idx="3">
                  <c:v>-148328.000000</c:v>
                </c:pt>
                <c:pt idx="4">
                  <c:v>-153306.000000</c:v>
                </c:pt>
                <c:pt idx="5">
                  <c:v>-160824.000000</c:v>
                </c:pt>
                <c:pt idx="6">
                  <c:v>-172953.000000</c:v>
                </c:pt>
                <c:pt idx="7">
                  <c:v>-182380.000000</c:v>
                </c:pt>
                <c:pt idx="8">
                  <c:v>-185293.000000</c:v>
                </c:pt>
                <c:pt idx="9">
                  <c:v>-194177.000000</c:v>
                </c:pt>
                <c:pt idx="10">
                  <c:v>-220983.000000</c:v>
                </c:pt>
                <c:pt idx="11">
                  <c:v>-239104.000000</c:v>
                </c:pt>
                <c:pt idx="12">
                  <c:v>-195565.000000</c:v>
                </c:pt>
                <c:pt idx="13">
                  <c:v>-202277.000000</c:v>
                </c:pt>
                <c:pt idx="14">
                  <c:v>-232665.000000</c:v>
                </c:pt>
                <c:pt idx="15">
                  <c:v>-211056.000000</c:v>
                </c:pt>
                <c:pt idx="16">
                  <c:v>-198150.000000</c:v>
                </c:pt>
                <c:pt idx="17">
                  <c:v>-175253.000000</c:v>
                </c:pt>
                <c:pt idx="18">
                  <c:v>-199184.000000</c:v>
                </c:pt>
                <c:pt idx="19">
                  <c:v>-211316.000000</c:v>
                </c:pt>
                <c:pt idx="20">
                  <c:v>-201801.000000</c:v>
                </c:pt>
                <c:pt idx="21">
                  <c:v>-211679.000000</c:v>
                </c:pt>
                <c:pt idx="22">
                  <c:v>-220533.000000</c:v>
                </c:pt>
                <c:pt idx="23">
                  <c:v>-251820.000000</c:v>
                </c:pt>
              </c:numCache>
            </c:numRef>
          </c:val>
          <c:smooth val="0"/>
        </c:ser>
        <c:ser>
          <c:idx val="1"/>
          <c:order val="1"/>
          <c:tx>
            <c:strRef>
              <c:f>'Balance sheet - Assets'!$K$3</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'Balance sheet - Assets'!$B$4:$B$28</c:f>
              <c:strCache>
                <c:ptCount val="25"/>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pt idx="24">
                  <c:v/>
                </c:pt>
              </c:strCache>
            </c:strRef>
          </c:cat>
          <c:val>
            <c:numRef>
              <c:f>'Balance sheet - Assets'!$K$4:$K$28</c:f>
              <c:numCache>
                <c:ptCount val="2"/>
                <c:pt idx="23">
                  <c:v>-251820.000000</c:v>
                </c:pt>
                <c:pt idx="24">
                  <c:v>-235193.040837</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1270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65000"/>
        <c:minorUnit val="32500"/>
      </c:valAx>
      <c:spPr>
        <a:noFill/>
        <a:ln w="12700" cap="flat">
          <a:noFill/>
          <a:miter lim="400000"/>
        </a:ln>
        <a:effectLst/>
      </c:spPr>
    </c:plotArea>
    <c:legend>
      <c:legendPos val="r"/>
      <c:layout>
        <c:manualLayout>
          <c:xMode val="edge"/>
          <c:yMode val="edge"/>
          <c:x val="0.460464"/>
          <c:y val="0.0697896"/>
          <c:w val="0.218849"/>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5.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46183"/>
          <c:y val="0.0426778"/>
          <c:w val="0.848817"/>
          <c:h val="0.886395"/>
        </c:manualLayout>
      </c:layout>
      <c:barChart>
        <c:barDir val="col"/>
        <c:grouping val="clustered"/>
        <c:varyColors val="0"/>
        <c:ser>
          <c:idx val="0"/>
          <c:order val="0"/>
          <c:tx>
            <c:strRef>
              <c:f>'Cash Flow - Cash Flow quarterly'!$M$3</c:f>
              <c:strCache>
                <c:ptCount val="1"/>
                <c:pt idx="0">
                  <c:v>Capital paid (raised)</c:v>
                </c:pt>
              </c:strCache>
            </c:strRef>
          </c:tx>
          <c:spPr>
            <a:solidFill>
              <a:schemeClr val="accent1"/>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0"/>
            <c:showCatName val="0"/>
            <c:showSerName val="0"/>
            <c:showPercent val="0"/>
            <c:showBubbleSize val="0"/>
            <c:showLeaderLines val="0"/>
          </c:dLbls>
          <c:cat>
            <c:strRef>
              <c:f>'Cash Flow - Cash Flow quarterly'!$B$4:$B$28</c:f>
              <c:strCache>
                <c:ptCount val="25"/>
                <c:pt idx="0">
                  <c:v>2015</c:v>
                </c:pt>
                <c:pt idx="1">
                  <c:v/>
                </c:pt>
                <c:pt idx="2">
                  <c:v/>
                </c:pt>
                <c:pt idx="3">
                  <c:v/>
                </c:pt>
                <c:pt idx="4">
                  <c:v>2016</c:v>
                </c:pt>
                <c:pt idx="5">
                  <c:v/>
                </c:pt>
                <c:pt idx="6">
                  <c:v/>
                </c:pt>
                <c:pt idx="7">
                  <c:v/>
                </c:pt>
                <c:pt idx="8">
                  <c:v>2017</c:v>
                </c:pt>
                <c:pt idx="9">
                  <c:v/>
                </c:pt>
                <c:pt idx="10">
                  <c:v/>
                </c:pt>
                <c:pt idx="11">
                  <c:v/>
                </c:pt>
                <c:pt idx="12">
                  <c:v>2018</c:v>
                </c:pt>
                <c:pt idx="13">
                  <c:v/>
                </c:pt>
                <c:pt idx="14">
                  <c:v/>
                </c:pt>
                <c:pt idx="15">
                  <c:v/>
                </c:pt>
                <c:pt idx="16">
                  <c:v>2019</c:v>
                </c:pt>
                <c:pt idx="17">
                  <c:v/>
                </c:pt>
                <c:pt idx="18">
                  <c:v/>
                </c:pt>
                <c:pt idx="19">
                  <c:v/>
                </c:pt>
                <c:pt idx="20">
                  <c:v>2020</c:v>
                </c:pt>
                <c:pt idx="21">
                  <c:v/>
                </c:pt>
                <c:pt idx="22">
                  <c:v/>
                </c:pt>
                <c:pt idx="23">
                  <c:v/>
                </c:pt>
                <c:pt idx="24">
                  <c:v/>
                </c:pt>
              </c:strCache>
            </c:strRef>
          </c:cat>
          <c:val>
            <c:numRef>
              <c:f>'Cash Flow - Cash Flow quarterly'!$M$4:$M$28</c:f>
              <c:numCache>
                <c:ptCount val="21"/>
                <c:pt idx="4">
                  <c:v>-6884.000000</c:v>
                </c:pt>
                <c:pt idx="5">
                  <c:v>2557.000000</c:v>
                </c:pt>
                <c:pt idx="6">
                  <c:v>9446.000000</c:v>
                </c:pt>
                <c:pt idx="7">
                  <c:v>21671.000000</c:v>
                </c:pt>
                <c:pt idx="8">
                  <c:v>21253.000000</c:v>
                </c:pt>
                <c:pt idx="9">
                  <c:v>23331.000000</c:v>
                </c:pt>
                <c:pt idx="10">
                  <c:v>27420.000000</c:v>
                </c:pt>
                <c:pt idx="11">
                  <c:v>24675.000000</c:v>
                </c:pt>
                <c:pt idx="12">
                  <c:v>50947.000000</c:v>
                </c:pt>
                <c:pt idx="13">
                  <c:v>82470.000000</c:v>
                </c:pt>
                <c:pt idx="14">
                  <c:v>105050.000000</c:v>
                </c:pt>
                <c:pt idx="15">
                  <c:v>118726.000000</c:v>
                </c:pt>
                <c:pt idx="16">
                  <c:v>148183.000000</c:v>
                </c:pt>
                <c:pt idx="17">
                  <c:v>174987.000000</c:v>
                </c:pt>
                <c:pt idx="18">
                  <c:v>196026.000000</c:v>
                </c:pt>
                <c:pt idx="19">
                  <c:v>221433.000000</c:v>
                </c:pt>
                <c:pt idx="20">
                  <c:v>242373.000000</c:v>
                </c:pt>
                <c:pt idx="21">
                  <c:v>261489.000000</c:v>
                </c:pt>
                <c:pt idx="22">
                  <c:v>282846.000000</c:v>
                </c:pt>
                <c:pt idx="23">
                  <c:v>315095.000000</c:v>
                </c:pt>
                <c:pt idx="24">
                  <c:v>409688.591625</c:v>
                </c:pt>
              </c:numCache>
            </c:numRef>
          </c:val>
        </c:ser>
        <c:gapWidth val="40"/>
        <c:overlap val="-10"/>
        <c:axId val="2094734552"/>
        <c:axId val="2094734553"/>
      </c:bar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1270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between"/>
        <c:majorUnit val="156250"/>
        <c:minorUnit val="78125"/>
      </c:valAx>
      <c:spPr>
        <a:noFill/>
        <a:ln w="12700" cap="flat">
          <a:noFill/>
          <a:miter lim="400000"/>
        </a:ln>
        <a:effectLst/>
      </c:spPr>
    </c:plotArea>
    <c:legend>
      <c:legendPos val="r"/>
      <c:layout>
        <c:manualLayout>
          <c:xMode val="edge"/>
          <c:yMode val="edge"/>
          <c:x val="0.286338"/>
          <c:y val="0.135758"/>
          <c:w val="0.441572"/>
          <c:h val="0.0676778"/>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6.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815849"/>
          <c:y val="0.0426778"/>
          <c:w val="0.911546"/>
          <c:h val="0.886395"/>
        </c:manualLayout>
      </c:layout>
      <c:lineChart>
        <c:grouping val="standard"/>
        <c:varyColors val="0"/>
        <c:ser>
          <c:idx val="0"/>
          <c:order val="0"/>
          <c:tx>
            <c:strRef>
              <c:f>'Share price - Share price'!$D$3</c:f>
              <c:strCache>
                <c:ptCount val="1"/>
                <c:pt idx="0">
                  <c:v>AAPL</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'Share price - Share price'!$B$16:$B$89</c:f>
              <c:strCache>
                <c:ptCount val="74"/>
                <c:pt idx="0">
                  <c:v>2015</c:v>
                </c:pt>
                <c:pt idx="1">
                  <c:v/>
                </c:pt>
                <c:pt idx="2">
                  <c:v/>
                </c:pt>
                <c:pt idx="3">
                  <c:v/>
                </c:pt>
                <c:pt idx="4">
                  <c:v/>
                </c:pt>
                <c:pt idx="5">
                  <c:v/>
                </c:pt>
                <c:pt idx="6">
                  <c:v/>
                </c:pt>
                <c:pt idx="7">
                  <c:v/>
                </c:pt>
                <c:pt idx="8">
                  <c:v/>
                </c:pt>
                <c:pt idx="9">
                  <c:v/>
                </c:pt>
                <c:pt idx="10">
                  <c:v/>
                </c:pt>
                <c:pt idx="11">
                  <c:v/>
                </c:pt>
                <c:pt idx="12">
                  <c:v>2016</c:v>
                </c:pt>
                <c:pt idx="13">
                  <c:v/>
                </c:pt>
                <c:pt idx="14">
                  <c:v/>
                </c:pt>
                <c:pt idx="15">
                  <c:v/>
                </c:pt>
                <c:pt idx="16">
                  <c:v/>
                </c:pt>
                <c:pt idx="17">
                  <c:v/>
                </c:pt>
                <c:pt idx="18">
                  <c:v/>
                </c:pt>
                <c:pt idx="19">
                  <c:v/>
                </c:pt>
                <c:pt idx="20">
                  <c:v/>
                </c:pt>
                <c:pt idx="21">
                  <c:v/>
                </c:pt>
                <c:pt idx="22">
                  <c:v/>
                </c:pt>
                <c:pt idx="23">
                  <c:v/>
                </c:pt>
                <c:pt idx="24">
                  <c:v>2017</c:v>
                </c:pt>
                <c:pt idx="25">
                  <c:v/>
                </c:pt>
                <c:pt idx="26">
                  <c:v/>
                </c:pt>
                <c:pt idx="27">
                  <c:v/>
                </c:pt>
                <c:pt idx="28">
                  <c:v/>
                </c:pt>
                <c:pt idx="29">
                  <c:v/>
                </c:pt>
                <c:pt idx="30">
                  <c:v/>
                </c:pt>
                <c:pt idx="31">
                  <c:v/>
                </c:pt>
                <c:pt idx="32">
                  <c:v/>
                </c:pt>
                <c:pt idx="33">
                  <c:v/>
                </c:pt>
                <c:pt idx="34">
                  <c:v/>
                </c:pt>
                <c:pt idx="35">
                  <c:v/>
                </c:pt>
                <c:pt idx="36">
                  <c:v>2018</c:v>
                </c:pt>
                <c:pt idx="37">
                  <c:v/>
                </c:pt>
                <c:pt idx="38">
                  <c:v/>
                </c:pt>
                <c:pt idx="39">
                  <c:v/>
                </c:pt>
                <c:pt idx="40">
                  <c:v/>
                </c:pt>
                <c:pt idx="41">
                  <c:v/>
                </c:pt>
                <c:pt idx="42">
                  <c:v/>
                </c:pt>
                <c:pt idx="43">
                  <c:v/>
                </c:pt>
                <c:pt idx="44">
                  <c:v/>
                </c:pt>
                <c:pt idx="45">
                  <c:v/>
                </c:pt>
                <c:pt idx="46">
                  <c:v/>
                </c:pt>
                <c:pt idx="47">
                  <c:v/>
                </c:pt>
                <c:pt idx="48">
                  <c:v>2019</c:v>
                </c:pt>
                <c:pt idx="49">
                  <c:v/>
                </c:pt>
                <c:pt idx="50">
                  <c:v/>
                </c:pt>
                <c:pt idx="51">
                  <c:v/>
                </c:pt>
                <c:pt idx="52">
                  <c:v/>
                </c:pt>
                <c:pt idx="53">
                  <c:v/>
                </c:pt>
                <c:pt idx="54">
                  <c:v/>
                </c:pt>
                <c:pt idx="55">
                  <c:v/>
                </c:pt>
                <c:pt idx="56">
                  <c:v/>
                </c:pt>
                <c:pt idx="57">
                  <c:v/>
                </c:pt>
                <c:pt idx="58">
                  <c:v/>
                </c:pt>
                <c:pt idx="59">
                  <c:v/>
                </c:pt>
                <c:pt idx="60">
                  <c:v>2020</c:v>
                </c:pt>
                <c:pt idx="61">
                  <c:v/>
                </c:pt>
                <c:pt idx="62">
                  <c:v/>
                </c:pt>
                <c:pt idx="63">
                  <c:v/>
                </c:pt>
                <c:pt idx="64">
                  <c:v/>
                </c:pt>
                <c:pt idx="65">
                  <c:v/>
                </c:pt>
                <c:pt idx="66">
                  <c:v/>
                </c:pt>
                <c:pt idx="67">
                  <c:v/>
                </c:pt>
                <c:pt idx="68">
                  <c:v/>
                </c:pt>
                <c:pt idx="69">
                  <c:v/>
                </c:pt>
                <c:pt idx="70">
                  <c:v/>
                </c:pt>
                <c:pt idx="71">
                  <c:v/>
                </c:pt>
                <c:pt idx="72">
                  <c:v/>
                </c:pt>
                <c:pt idx="73">
                  <c:v/>
                </c:pt>
              </c:strCache>
            </c:strRef>
          </c:cat>
          <c:val>
            <c:numRef>
              <c:f>'Share price - Share price'!$D$16:$D$89</c:f>
              <c:numCache>
                <c:ptCount val="73"/>
                <c:pt idx="0">
                  <c:v>29.305643</c:v>
                </c:pt>
                <c:pt idx="1">
                  <c:v>28.498304</c:v>
                </c:pt>
                <c:pt idx="2">
                  <c:v>28.663210</c:v>
                </c:pt>
                <c:pt idx="3">
                  <c:v>29.838139</c:v>
                </c:pt>
                <c:pt idx="4">
                  <c:v>28.847332</c:v>
                </c:pt>
                <c:pt idx="5">
                  <c:v>27.897482</c:v>
                </c:pt>
                <c:pt idx="6">
                  <c:v>25.933390</c:v>
                </c:pt>
                <c:pt idx="7">
                  <c:v>25.482449</c:v>
                </c:pt>
                <c:pt idx="8">
                  <c:v>27.607912</c:v>
                </c:pt>
                <c:pt idx="9">
                  <c:v>27.330675</c:v>
                </c:pt>
                <c:pt idx="10">
                  <c:v>24.422157</c:v>
                </c:pt>
                <c:pt idx="11">
                  <c:v>22.584578</c:v>
                </c:pt>
                <c:pt idx="12">
                  <c:v>22.433773</c:v>
                </c:pt>
                <c:pt idx="13">
                  <c:v>25.424799</c:v>
                </c:pt>
                <c:pt idx="14">
                  <c:v>21.867334</c:v>
                </c:pt>
                <c:pt idx="15">
                  <c:v>23.294987</c:v>
                </c:pt>
                <c:pt idx="16">
                  <c:v>22.437010</c:v>
                </c:pt>
                <c:pt idx="17">
                  <c:v>24.457745</c:v>
                </c:pt>
                <c:pt idx="18">
                  <c:v>24.901323</c:v>
                </c:pt>
                <c:pt idx="19">
                  <c:v>26.676199</c:v>
                </c:pt>
                <c:pt idx="20">
                  <c:v>26.791819</c:v>
                </c:pt>
                <c:pt idx="21">
                  <c:v>26.079195</c:v>
                </c:pt>
                <c:pt idx="22">
                  <c:v>27.470144</c:v>
                </c:pt>
                <c:pt idx="23">
                  <c:v>28.781750</c:v>
                </c:pt>
                <c:pt idx="24">
                  <c:v>32.491241</c:v>
                </c:pt>
                <c:pt idx="25">
                  <c:v>34.220959</c:v>
                </c:pt>
                <c:pt idx="26">
                  <c:v>34.218575</c:v>
                </c:pt>
                <c:pt idx="27">
                  <c:v>36.388645</c:v>
                </c:pt>
                <c:pt idx="28">
                  <c:v>34.448315</c:v>
                </c:pt>
                <c:pt idx="29">
                  <c:v>35.574905</c:v>
                </c:pt>
                <c:pt idx="30">
                  <c:v>39.227352</c:v>
                </c:pt>
                <c:pt idx="31">
                  <c:v>37.008904</c:v>
                </c:pt>
                <c:pt idx="32">
                  <c:v>40.591652</c:v>
                </c:pt>
                <c:pt idx="33">
                  <c:v>41.266426</c:v>
                </c:pt>
                <c:pt idx="34">
                  <c:v>40.783367</c:v>
                </c:pt>
                <c:pt idx="35">
                  <c:v>40.349579</c:v>
                </c:pt>
                <c:pt idx="36">
                  <c:v>42.925804</c:v>
                </c:pt>
                <c:pt idx="37">
                  <c:v>40.598782</c:v>
                </c:pt>
                <c:pt idx="38">
                  <c:v>39.988998</c:v>
                </c:pt>
                <c:pt idx="39">
                  <c:v>45.218109</c:v>
                </c:pt>
                <c:pt idx="40">
                  <c:v>44.964947</c:v>
                </c:pt>
                <c:pt idx="41">
                  <c:v>46.223221</c:v>
                </c:pt>
                <c:pt idx="42">
                  <c:v>55.293457</c:v>
                </c:pt>
                <c:pt idx="43">
                  <c:v>55.026672</c:v>
                </c:pt>
                <c:pt idx="44">
                  <c:v>53.349594</c:v>
                </c:pt>
                <c:pt idx="45">
                  <c:v>43.530891</c:v>
                </c:pt>
                <c:pt idx="46">
                  <c:v>38.585068</c:v>
                </c:pt>
                <c:pt idx="47">
                  <c:v>40.713184</c:v>
                </c:pt>
                <c:pt idx="48">
                  <c:v>42.354534</c:v>
                </c:pt>
                <c:pt idx="49">
                  <c:v>46.663288</c:v>
                </c:pt>
                <c:pt idx="50">
                  <c:v>49.296772</c:v>
                </c:pt>
                <c:pt idx="51">
                  <c:v>43.007851</c:v>
                </c:pt>
                <c:pt idx="52">
                  <c:v>48.808441</c:v>
                </c:pt>
                <c:pt idx="53">
                  <c:v>52.537140</c:v>
                </c:pt>
                <c:pt idx="54">
                  <c:v>51.476730</c:v>
                </c:pt>
                <c:pt idx="55">
                  <c:v>55.442406</c:v>
                </c:pt>
                <c:pt idx="56">
                  <c:v>61.579021</c:v>
                </c:pt>
                <c:pt idx="57">
                  <c:v>66.156113</c:v>
                </c:pt>
                <c:pt idx="58">
                  <c:v>72.909500</c:v>
                </c:pt>
                <c:pt idx="59">
                  <c:v>76.847343</c:v>
                </c:pt>
                <c:pt idx="60">
                  <c:v>67.871758</c:v>
                </c:pt>
                <c:pt idx="61">
                  <c:v>63.286770</c:v>
                </c:pt>
                <c:pt idx="62">
                  <c:v>73.119873</c:v>
                </c:pt>
                <c:pt idx="63">
                  <c:v>79.127747</c:v>
                </c:pt>
                <c:pt idx="64">
                  <c:v>91.035858</c:v>
                </c:pt>
                <c:pt idx="65">
                  <c:v>106.068756</c:v>
                </c:pt>
                <c:pt idx="66">
                  <c:v>128.807755</c:v>
                </c:pt>
                <c:pt idx="67">
                  <c:v>115.809998</c:v>
                </c:pt>
                <c:pt idx="68">
                  <c:v>115.320000</c:v>
                </c:pt>
                <c:pt idx="69">
                  <c:v>108.672516</c:v>
                </c:pt>
                <c:pt idx="70">
                  <c:v>119.050003</c:v>
                </c:pt>
                <c:pt idx="71">
                  <c:v>132.690002</c:v>
                </c:pt>
                <c:pt idx="72">
                  <c:v>142.059998</c:v>
                </c:pt>
              </c:numCache>
            </c:numRef>
          </c:val>
          <c:smooth val="0"/>
        </c:ser>
        <c:ser>
          <c:idx val="1"/>
          <c:order val="1"/>
          <c:tx>
            <c:strRef>
              <c:f>'Share price - Share price'!$E$3</c:f>
              <c:strCache>
                <c:ptCount val="1"/>
                <c:pt idx="0">
                  <c:v>Target</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a:defRPr>
                </a:pPr>
              </a:p>
            </c:txPr>
            <c:dLblPos val="t"/>
            <c:showLegendKey val="0"/>
            <c:showVal val="0"/>
            <c:showCatName val="0"/>
            <c:showSerName val="0"/>
            <c:showPercent val="0"/>
            <c:showBubbleSize val="0"/>
            <c:showLeaderLines val="0"/>
          </c:dLbls>
          <c:cat>
            <c:strRef>
              <c:f>'Share price - Share price'!$B$16:$B$89</c:f>
              <c:strCache>
                <c:ptCount val="74"/>
                <c:pt idx="0">
                  <c:v>2015</c:v>
                </c:pt>
                <c:pt idx="1">
                  <c:v/>
                </c:pt>
                <c:pt idx="2">
                  <c:v/>
                </c:pt>
                <c:pt idx="3">
                  <c:v/>
                </c:pt>
                <c:pt idx="4">
                  <c:v/>
                </c:pt>
                <c:pt idx="5">
                  <c:v/>
                </c:pt>
                <c:pt idx="6">
                  <c:v/>
                </c:pt>
                <c:pt idx="7">
                  <c:v/>
                </c:pt>
                <c:pt idx="8">
                  <c:v/>
                </c:pt>
                <c:pt idx="9">
                  <c:v/>
                </c:pt>
                <c:pt idx="10">
                  <c:v/>
                </c:pt>
                <c:pt idx="11">
                  <c:v/>
                </c:pt>
                <c:pt idx="12">
                  <c:v>2016</c:v>
                </c:pt>
                <c:pt idx="13">
                  <c:v/>
                </c:pt>
                <c:pt idx="14">
                  <c:v/>
                </c:pt>
                <c:pt idx="15">
                  <c:v/>
                </c:pt>
                <c:pt idx="16">
                  <c:v/>
                </c:pt>
                <c:pt idx="17">
                  <c:v/>
                </c:pt>
                <c:pt idx="18">
                  <c:v/>
                </c:pt>
                <c:pt idx="19">
                  <c:v/>
                </c:pt>
                <c:pt idx="20">
                  <c:v/>
                </c:pt>
                <c:pt idx="21">
                  <c:v/>
                </c:pt>
                <c:pt idx="22">
                  <c:v/>
                </c:pt>
                <c:pt idx="23">
                  <c:v/>
                </c:pt>
                <c:pt idx="24">
                  <c:v>2017</c:v>
                </c:pt>
                <c:pt idx="25">
                  <c:v/>
                </c:pt>
                <c:pt idx="26">
                  <c:v/>
                </c:pt>
                <c:pt idx="27">
                  <c:v/>
                </c:pt>
                <c:pt idx="28">
                  <c:v/>
                </c:pt>
                <c:pt idx="29">
                  <c:v/>
                </c:pt>
                <c:pt idx="30">
                  <c:v/>
                </c:pt>
                <c:pt idx="31">
                  <c:v/>
                </c:pt>
                <c:pt idx="32">
                  <c:v/>
                </c:pt>
                <c:pt idx="33">
                  <c:v/>
                </c:pt>
                <c:pt idx="34">
                  <c:v/>
                </c:pt>
                <c:pt idx="35">
                  <c:v/>
                </c:pt>
                <c:pt idx="36">
                  <c:v>2018</c:v>
                </c:pt>
                <c:pt idx="37">
                  <c:v/>
                </c:pt>
                <c:pt idx="38">
                  <c:v/>
                </c:pt>
                <c:pt idx="39">
                  <c:v/>
                </c:pt>
                <c:pt idx="40">
                  <c:v/>
                </c:pt>
                <c:pt idx="41">
                  <c:v/>
                </c:pt>
                <c:pt idx="42">
                  <c:v/>
                </c:pt>
                <c:pt idx="43">
                  <c:v/>
                </c:pt>
                <c:pt idx="44">
                  <c:v/>
                </c:pt>
                <c:pt idx="45">
                  <c:v/>
                </c:pt>
                <c:pt idx="46">
                  <c:v/>
                </c:pt>
                <c:pt idx="47">
                  <c:v/>
                </c:pt>
                <c:pt idx="48">
                  <c:v>2019</c:v>
                </c:pt>
                <c:pt idx="49">
                  <c:v/>
                </c:pt>
                <c:pt idx="50">
                  <c:v/>
                </c:pt>
                <c:pt idx="51">
                  <c:v/>
                </c:pt>
                <c:pt idx="52">
                  <c:v/>
                </c:pt>
                <c:pt idx="53">
                  <c:v/>
                </c:pt>
                <c:pt idx="54">
                  <c:v/>
                </c:pt>
                <c:pt idx="55">
                  <c:v/>
                </c:pt>
                <c:pt idx="56">
                  <c:v/>
                </c:pt>
                <c:pt idx="57">
                  <c:v/>
                </c:pt>
                <c:pt idx="58">
                  <c:v/>
                </c:pt>
                <c:pt idx="59">
                  <c:v/>
                </c:pt>
                <c:pt idx="60">
                  <c:v>2020</c:v>
                </c:pt>
                <c:pt idx="61">
                  <c:v/>
                </c:pt>
                <c:pt idx="62">
                  <c:v/>
                </c:pt>
                <c:pt idx="63">
                  <c:v/>
                </c:pt>
                <c:pt idx="64">
                  <c:v/>
                </c:pt>
                <c:pt idx="65">
                  <c:v/>
                </c:pt>
                <c:pt idx="66">
                  <c:v/>
                </c:pt>
                <c:pt idx="67">
                  <c:v/>
                </c:pt>
                <c:pt idx="68">
                  <c:v/>
                </c:pt>
                <c:pt idx="69">
                  <c:v/>
                </c:pt>
                <c:pt idx="70">
                  <c:v/>
                </c:pt>
                <c:pt idx="71">
                  <c:v/>
                </c:pt>
                <c:pt idx="72">
                  <c:v/>
                </c:pt>
                <c:pt idx="73">
                  <c:v/>
                </c:pt>
              </c:strCache>
            </c:strRef>
          </c:cat>
          <c:val>
            <c:numRef>
              <c:f>'Share price - Share price'!$E$16:$E$89</c:f>
              <c:numCache>
                <c:ptCount val="2"/>
                <c:pt idx="72">
                  <c:v>142.059998</c:v>
                </c:pt>
                <c:pt idx="73">
                  <c:v>207.439141</c:v>
                </c:pt>
              </c:numCache>
            </c:numRef>
          </c:val>
          <c:smooth val="0"/>
        </c:ser>
        <c:marker val="1"/>
        <c:axId val="2094734552"/>
        <c:axId val="2094734553"/>
      </c:lineChart>
      <c:catAx>
        <c:axId val="2094734552"/>
        <c:scaling>
          <c:orientation val="minMax"/>
        </c:scaling>
        <c:delete val="0"/>
        <c:axPos val="b"/>
        <c:numFmt formatCode="#,##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12700" cap="flat">
              <a:solidFill>
                <a:srgbClr val="B8B8B8"/>
              </a:solidFill>
              <a:prstDash val="solid"/>
              <a:miter lim="400000"/>
            </a:ln>
          </c:spPr>
        </c:majorGridlines>
        <c:numFmt formatCode="#,##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55"/>
        <c:minorUnit val="27.5"/>
      </c:valAx>
      <c:spPr>
        <a:noFill/>
        <a:ln w="12700" cap="flat">
          <a:noFill/>
          <a:miter lim="400000"/>
        </a:ln>
        <a:effectLst/>
      </c:spPr>
    </c:plotArea>
    <c:legend>
      <c:legendPos val="r"/>
      <c:layout>
        <c:manualLayout>
          <c:xMode val="edge"/>
          <c:yMode val="edge"/>
          <c:x val="0.417538"/>
          <c:y val="0.0843227"/>
          <c:w val="0.239639"/>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6</xdr:col>
      <xdr:colOff>960979</xdr:colOff>
      <xdr:row>19</xdr:row>
      <xdr:rowOff>28373</xdr:rowOff>
    </xdr:from>
    <xdr:to>
      <xdr:col>10</xdr:col>
      <xdr:colOff>459496</xdr:colOff>
      <xdr:row>32</xdr:row>
      <xdr:rowOff>205741</xdr:rowOff>
    </xdr:to>
    <xdr:graphicFrame>
      <xdr:nvGraphicFramePr>
        <xdr:cNvPr id="2" name="Chart 2"/>
        <xdr:cNvGraphicFramePr/>
      </xdr:nvGraphicFramePr>
      <xdr:xfrm>
        <a:off x="5723479" y="5183303"/>
        <a:ext cx="4476918" cy="3487624"/>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6</xdr:col>
      <xdr:colOff>967483</xdr:colOff>
      <xdr:row>4</xdr:row>
      <xdr:rowOff>3688</xdr:rowOff>
    </xdr:from>
    <xdr:to>
      <xdr:col>10</xdr:col>
      <xdr:colOff>452992</xdr:colOff>
      <xdr:row>17</xdr:row>
      <xdr:rowOff>28656</xdr:rowOff>
    </xdr:to>
    <xdr:graphicFrame>
      <xdr:nvGraphicFramePr>
        <xdr:cNvPr id="3" name="Chart 3"/>
        <xdr:cNvGraphicFramePr/>
      </xdr:nvGraphicFramePr>
      <xdr:xfrm>
        <a:off x="5729983" y="1186693"/>
        <a:ext cx="4463910" cy="3487624"/>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10</xdr:col>
      <xdr:colOff>1008474</xdr:colOff>
      <xdr:row>3</xdr:row>
      <xdr:rowOff>226536</xdr:rowOff>
    </xdr:from>
    <xdr:to>
      <xdr:col>14</xdr:col>
      <xdr:colOff>614220</xdr:colOff>
      <xdr:row>16</xdr:row>
      <xdr:rowOff>248964</xdr:rowOff>
    </xdr:to>
    <xdr:graphicFrame>
      <xdr:nvGraphicFramePr>
        <xdr:cNvPr id="4" name="Chart 4"/>
        <xdr:cNvGraphicFramePr/>
      </xdr:nvGraphicFramePr>
      <xdr:xfrm>
        <a:off x="10749374" y="1152366"/>
        <a:ext cx="4584147" cy="3487624"/>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10</xdr:col>
      <xdr:colOff>995225</xdr:colOff>
      <xdr:row>19</xdr:row>
      <xdr:rowOff>909</xdr:rowOff>
    </xdr:from>
    <xdr:to>
      <xdr:col>14</xdr:col>
      <xdr:colOff>627469</xdr:colOff>
      <xdr:row>32</xdr:row>
      <xdr:rowOff>178277</xdr:rowOff>
    </xdr:to>
    <xdr:graphicFrame>
      <xdr:nvGraphicFramePr>
        <xdr:cNvPr id="5" name="Chart 5"/>
        <xdr:cNvGraphicFramePr/>
      </xdr:nvGraphicFramePr>
      <xdr:xfrm>
        <a:off x="10736125" y="5155839"/>
        <a:ext cx="4610645" cy="3487624"/>
      </xdr:xfrm>
      <a:graphic xmlns:a="http://schemas.openxmlformats.org/drawingml/2006/main">
        <a:graphicData uri="http://schemas.openxmlformats.org/drawingml/2006/chart">
          <c:chart xmlns:c="http://schemas.openxmlformats.org/drawingml/2006/chart" r:id="rId4"/>
        </a:graphicData>
      </a:graphic>
    </xdr:graphicFrame>
    <xdr:clientData/>
  </xdr:twoCellAnchor>
  <xdr:twoCellAnchor>
    <xdr:from>
      <xdr:col>10</xdr:col>
      <xdr:colOff>991999</xdr:colOff>
      <xdr:row>34</xdr:row>
      <xdr:rowOff>251241</xdr:rowOff>
    </xdr:from>
    <xdr:to>
      <xdr:col>14</xdr:col>
      <xdr:colOff>630694</xdr:colOff>
      <xdr:row>48</xdr:row>
      <xdr:rowOff>200644</xdr:rowOff>
    </xdr:to>
    <xdr:graphicFrame>
      <xdr:nvGraphicFramePr>
        <xdr:cNvPr id="6" name="Chart 6"/>
        <xdr:cNvGraphicFramePr/>
      </xdr:nvGraphicFramePr>
      <xdr:xfrm>
        <a:off x="10732899" y="9223791"/>
        <a:ext cx="4617096" cy="3487624"/>
      </xdr:xfrm>
      <a:graphic xmlns:a="http://schemas.openxmlformats.org/drawingml/2006/main">
        <a:graphicData uri="http://schemas.openxmlformats.org/drawingml/2006/chart">
          <c:chart xmlns:c="http://schemas.openxmlformats.org/drawingml/2006/chart" r:id="rId5"/>
        </a:graphicData>
      </a:graphic>
    </xdr:graphicFrame>
    <xdr:clientData/>
  </xdr:twoCellAnchor>
  <xdr:twoCellAnchor>
    <xdr:from>
      <xdr:col>6</xdr:col>
      <xdr:colOff>983219</xdr:colOff>
      <xdr:row>35</xdr:row>
      <xdr:rowOff>25975</xdr:rowOff>
    </xdr:from>
    <xdr:to>
      <xdr:col>10</xdr:col>
      <xdr:colOff>442081</xdr:colOff>
      <xdr:row>48</xdr:row>
      <xdr:rowOff>228109</xdr:rowOff>
    </xdr:to>
    <xdr:graphicFrame>
      <xdr:nvGraphicFramePr>
        <xdr:cNvPr id="7" name="Chart 7"/>
        <xdr:cNvGraphicFramePr/>
      </xdr:nvGraphicFramePr>
      <xdr:xfrm>
        <a:off x="5745719" y="9251255"/>
        <a:ext cx="4437263" cy="3487625"/>
      </xdr:xfrm>
      <a:graphic xmlns:a="http://schemas.openxmlformats.org/drawingml/2006/main">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6.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13</v>
      </c>
      <c r="C11" s="3"/>
      <c r="D11" s="3"/>
    </row>
    <row r="12">
      <c r="B12" s="4"/>
      <c r="C12" t="s" s="4">
        <v>14</v>
      </c>
      <c r="D12" t="s" s="5">
        <v>15</v>
      </c>
    </row>
    <row r="13">
      <c r="B13" t="s" s="3">
        <v>26</v>
      </c>
      <c r="C13" s="3"/>
      <c r="D13" s="3"/>
    </row>
    <row r="14">
      <c r="B14" s="4"/>
      <c r="C14" t="s" s="4">
        <v>27</v>
      </c>
      <c r="D14" t="s" s="5">
        <v>28</v>
      </c>
    </row>
    <row r="15">
      <c r="B15" t="s" s="3">
        <v>36</v>
      </c>
      <c r="C15" s="3"/>
      <c r="D15" s="3"/>
    </row>
    <row r="16">
      <c r="B16" s="4"/>
      <c r="C16" t="s" s="4">
        <v>36</v>
      </c>
      <c r="D16" t="s" s="5">
        <v>37</v>
      </c>
    </row>
    <row r="17">
      <c r="B17" t="s" s="3">
        <v>41</v>
      </c>
      <c r="C17" s="3"/>
      <c r="D17" s="3"/>
    </row>
    <row r="18">
      <c r="B18" s="4"/>
      <c r="C18" t="s" s="4">
        <v>42</v>
      </c>
      <c r="D18" t="s" s="5">
        <v>43</v>
      </c>
    </row>
    <row r="19">
      <c r="B19" t="s" s="3">
        <v>65</v>
      </c>
      <c r="C19" s="3"/>
      <c r="D19" s="3"/>
    </row>
    <row r="20">
      <c r="B20" s="4"/>
      <c r="C20" t="s" s="4">
        <v>66</v>
      </c>
      <c r="D20" t="s" s="5">
        <v>67</v>
      </c>
    </row>
  </sheetData>
  <mergeCells count="1">
    <mergeCell ref="B3:D3"/>
  </mergeCells>
  <hyperlinks>
    <hyperlink ref="D10" location="'Sales - Profit quarterly'!R3C2" tooltip="" display="Sales - Profit quarterly"/>
    <hyperlink ref="D12" location="'Cash Flow - Cash Flow quarterly'!R3C2" tooltip="" display="Cash Flow - Cash Flow quarterly"/>
    <hyperlink ref="D14" location="'Balance sheet - Assets'!R3C2" tooltip="" display="Balance sheet - Assets"/>
    <hyperlink ref="D16" location="'Share price - Share price'!R3C2" tooltip="" display="Share price - Share price"/>
    <hyperlink ref="D18" location="'Model - Financial model'!R3C2" tooltip="" display="Model - Financial model"/>
    <hyperlink ref="D20" location="'Valuation  - Valuation'!R3C2" tooltip="" display="Valuation  - Valuation"/>
  </hyperlinks>
</worksheet>
</file>

<file path=xl/worksheets/sheet2.xml><?xml version="1.0" encoding="utf-8"?>
<worksheet xmlns:r="http://schemas.openxmlformats.org/officeDocument/2006/relationships" xmlns="http://schemas.openxmlformats.org/spreadsheetml/2006/main">
  <sheetPr>
    <pageSetUpPr fitToPage="1"/>
  </sheetPr>
  <dimension ref="B3:I32"/>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5.74219" style="6" customWidth="1"/>
    <col min="2" max="2" width="8.41406" style="6" customWidth="1"/>
    <col min="3" max="9" width="11.1797" style="6" customWidth="1"/>
    <col min="10" max="16384" width="16.3516" style="6" customWidth="1"/>
  </cols>
  <sheetData>
    <row r="1" ht="84.55" customHeight="1"/>
    <row r="2" ht="27.65" customHeight="1">
      <c r="B2" t="s" s="7">
        <v>5</v>
      </c>
      <c r="C2" s="7"/>
      <c r="D2" s="7"/>
      <c r="E2" s="7"/>
      <c r="F2" s="7"/>
      <c r="G2" s="7"/>
      <c r="H2" s="7"/>
      <c r="I2" s="7"/>
    </row>
    <row r="3" ht="32.25" customHeight="1">
      <c r="B3" t="s" s="8">
        <v>7</v>
      </c>
      <c r="C3" t="s" s="8">
        <v>8</v>
      </c>
      <c r="D3" t="s" s="8">
        <v>9</v>
      </c>
      <c r="E3" t="s" s="8">
        <v>4</v>
      </c>
      <c r="F3" t="s" s="8">
        <v>10</v>
      </c>
      <c r="G3" t="s" s="8">
        <v>11</v>
      </c>
      <c r="H3" t="s" s="8">
        <v>12</v>
      </c>
      <c r="I3" t="s" s="8">
        <v>10</v>
      </c>
    </row>
    <row r="4" ht="20.25" customHeight="1">
      <c r="B4" s="9"/>
      <c r="C4" s="10">
        <v>69800</v>
      </c>
      <c r="D4" s="11">
        <v>4799</v>
      </c>
      <c r="E4" s="11">
        <v>74599</v>
      </c>
      <c r="F4" s="12"/>
      <c r="G4" s="11"/>
      <c r="H4" s="13"/>
      <c r="I4" s="14"/>
    </row>
    <row r="5" ht="20.05" customHeight="1">
      <c r="B5" s="15">
        <v>2015</v>
      </c>
      <c r="C5" s="16">
        <v>53014</v>
      </c>
      <c r="D5" s="17">
        <v>4996</v>
      </c>
      <c r="E5" s="17">
        <v>58010</v>
      </c>
      <c r="F5" s="18"/>
      <c r="G5" s="19">
        <f>E5/E4-1</f>
        <v>-0.222375635062132</v>
      </c>
      <c r="H5" s="19">
        <f>('Cash Flow - Cash Flow quarterly'!C4+'Cash Flow - Cash Flow quarterly'!D4+'Cash Flow - Cash Flow quarterly'!E4-E5)/E5</f>
        <v>-0.723358041716945</v>
      </c>
      <c r="I5" s="19"/>
    </row>
    <row r="6" ht="20.05" customHeight="1">
      <c r="B6" s="20"/>
      <c r="C6" s="16">
        <v>44577</v>
      </c>
      <c r="D6" s="17">
        <v>5028</v>
      </c>
      <c r="E6" s="17">
        <v>49605</v>
      </c>
      <c r="F6" s="18"/>
      <c r="G6" s="19">
        <f>E6/E5-1</f>
        <v>-0.144888812273746</v>
      </c>
      <c r="H6" s="19">
        <f>('Cash Flow - Cash Flow quarterly'!C5+'Cash Flow - Cash Flow quarterly'!D5+'Cash Flow - Cash Flow quarterly'!E5-E6)/E6</f>
        <v>-0.722588448745086</v>
      </c>
      <c r="I6" s="19"/>
    </row>
    <row r="7" ht="20.05" customHeight="1">
      <c r="B7" s="20"/>
      <c r="C7" s="16">
        <v>61238</v>
      </c>
      <c r="D7" s="17">
        <v>5086</v>
      </c>
      <c r="E7" s="17">
        <f>233715-SUM(E4:E6)</f>
        <v>51501</v>
      </c>
      <c r="F7" s="18"/>
      <c r="G7" s="19">
        <f>E7/E6-1</f>
        <v>0.0382219534321137</v>
      </c>
      <c r="H7" s="19">
        <f>('Cash Flow - Cash Flow quarterly'!C6+'Cash Flow - Cash Flow quarterly'!D6+'Cash Flow - Cash Flow quarterly'!E6-E7)/E7</f>
        <v>-0.723442263257024</v>
      </c>
      <c r="I7" s="19"/>
    </row>
    <row r="8" ht="20.05" customHeight="1">
      <c r="B8" s="20"/>
      <c r="C8" s="16">
        <v>69816</v>
      </c>
      <c r="D8" s="17">
        <v>6056</v>
      </c>
      <c r="E8" s="17">
        <v>75872</v>
      </c>
      <c r="F8" s="18"/>
      <c r="G8" s="19">
        <f>E8/E7-1</f>
        <v>0.473214112347333</v>
      </c>
      <c r="H8" s="19">
        <f>('Cash Flow - Cash Flow quarterly'!C7+'Cash Flow - Cash Flow quarterly'!D7+'Cash Flow - Cash Flow quarterly'!E7-E8)/E8</f>
        <v>-0.719066322226908</v>
      </c>
      <c r="I8" s="19"/>
    </row>
    <row r="9" ht="20.05" customHeight="1">
      <c r="B9" s="15">
        <v>2016</v>
      </c>
      <c r="C9" s="16">
        <v>44566</v>
      </c>
      <c r="D9" s="17">
        <v>5991</v>
      </c>
      <c r="E9" s="17">
        <v>50557</v>
      </c>
      <c r="F9" s="18"/>
      <c r="G9" s="19">
        <f>E9/E8-1</f>
        <v>-0.333654048924504</v>
      </c>
      <c r="H9" s="19">
        <f>('Cash Flow - Cash Flow quarterly'!C8+'Cash Flow - Cash Flow quarterly'!D8+'Cash Flow - Cash Flow quarterly'!E8-E9)/E9</f>
        <v>-0.721977174278537</v>
      </c>
      <c r="I9" s="19"/>
    </row>
    <row r="10" ht="20.05" customHeight="1">
      <c r="B10" s="20"/>
      <c r="C10" s="16">
        <v>36382</v>
      </c>
      <c r="D10" s="17">
        <v>5976</v>
      </c>
      <c r="E10" s="17">
        <v>42358</v>
      </c>
      <c r="F10" s="18"/>
      <c r="G10" s="19">
        <f>E10/E9-1</f>
        <v>-0.162173388452638</v>
      </c>
      <c r="H10" s="19">
        <f>('Cash Flow - Cash Flow quarterly'!C9+'Cash Flow - Cash Flow quarterly'!D9+'Cash Flow - Cash Flow quarterly'!E9-E10)/E10</f>
        <v>-0.7314320789461261</v>
      </c>
      <c r="I10" s="19"/>
    </row>
    <row r="11" ht="20.05" customHeight="1">
      <c r="B11" s="20"/>
      <c r="C11" s="16">
        <v>58550</v>
      </c>
      <c r="D11" s="17">
        <v>6325</v>
      </c>
      <c r="E11" s="17">
        <f>215639-SUM(E8:E10)</f>
        <v>46852</v>
      </c>
      <c r="F11" s="18"/>
      <c r="G11" s="19">
        <f>E11/E10-1</f>
        <v>0.106095660796072</v>
      </c>
      <c r="H11" s="19">
        <f>('Cash Flow - Cash Flow quarterly'!C10+'Cash Flow - Cash Flow quarterly'!D10+'Cash Flow - Cash Flow quarterly'!E10-E11)/E11</f>
        <v>-0.731238794501836</v>
      </c>
      <c r="I11" s="19"/>
    </row>
    <row r="12" ht="20.05" customHeight="1">
      <c r="B12" s="20"/>
      <c r="C12" s="16">
        <v>71179</v>
      </c>
      <c r="D12" s="17">
        <v>7172</v>
      </c>
      <c r="E12" s="17">
        <v>78351</v>
      </c>
      <c r="F12" s="18"/>
      <c r="G12" s="19">
        <f>E12/E11-1</f>
        <v>0.672308546059933</v>
      </c>
      <c r="H12" s="19">
        <f>('Cash Flow - Cash Flow quarterly'!C11+'Cash Flow - Cash Flow quarterly'!D11+'Cash Flow - Cash Flow quarterly'!E11-E12)/E12</f>
        <v>-0.717502010184937</v>
      </c>
      <c r="I12" s="19"/>
    </row>
    <row r="13" ht="20.05" customHeight="1">
      <c r="B13" s="15">
        <v>2017</v>
      </c>
      <c r="C13" s="16">
        <v>45855</v>
      </c>
      <c r="D13" s="17">
        <v>7041</v>
      </c>
      <c r="E13" s="17">
        <v>52896</v>
      </c>
      <c r="F13" s="18"/>
      <c r="G13" s="19">
        <f>E13/E12-1</f>
        <v>-0.324884175058391</v>
      </c>
      <c r="H13" s="19">
        <f>('Cash Flow - Cash Flow quarterly'!C12+'Cash Flow - Cash Flow quarterly'!D12+'Cash Flow - Cash Flow quarterly'!E12-E13)/E13</f>
        <v>-0.7244026013309131</v>
      </c>
      <c r="I13" s="19"/>
    </row>
    <row r="14" ht="20.05" customHeight="1">
      <c r="B14" s="20"/>
      <c r="C14" s="16">
        <v>38142</v>
      </c>
      <c r="D14" s="17">
        <v>7266</v>
      </c>
      <c r="E14" s="17">
        <v>45408</v>
      </c>
      <c r="F14" s="18"/>
      <c r="G14" s="19">
        <f>E14/E13-1</f>
        <v>-0.141560798548094</v>
      </c>
      <c r="H14" s="19">
        <f>('Cash Flow - Cash Flow quarterly'!C13+'Cash Flow - Cash Flow quarterly'!D13+'Cash Flow - Cash Flow quarterly'!E13-E14)/E14</f>
        <v>-0.729915433403805</v>
      </c>
      <c r="I14" s="19"/>
    </row>
    <row r="15" ht="20.05" customHeight="1">
      <c r="B15" s="20"/>
      <c r="C15" s="16">
        <v>41358</v>
      </c>
      <c r="D15" s="17">
        <v>11221</v>
      </c>
      <c r="E15" s="17">
        <f>229234-SUM(E12:E14)</f>
        <v>52579</v>
      </c>
      <c r="F15" s="18"/>
      <c r="G15" s="19">
        <f>E15/E14-1</f>
        <v>0.157923713883016</v>
      </c>
      <c r="H15" s="19">
        <f>('Cash Flow - Cash Flow quarterly'!C14+'Cash Flow - Cash Flow quarterly'!D14+'Cash Flow - Cash Flow quarterly'!E14-E15)/E15</f>
        <v>-0.726658932273341</v>
      </c>
      <c r="I15" s="19"/>
    </row>
    <row r="16" ht="20.05" customHeight="1">
      <c r="B16" s="20"/>
      <c r="C16" s="16">
        <v>79164</v>
      </c>
      <c r="D16" s="17">
        <v>9129</v>
      </c>
      <c r="E16" s="17">
        <v>88293</v>
      </c>
      <c r="F16" s="18"/>
      <c r="G16" s="19">
        <f>E16/E15-1</f>
        <v>0.6792445653207549</v>
      </c>
      <c r="H16" s="19">
        <f>('Cash Flow - Cash Flow quarterly'!C15+'Cash Flow - Cash Flow quarterly'!D15+'Cash Flow - Cash Flow quarterly'!E15-E16)/E16</f>
        <v>-0.726977223562457</v>
      </c>
      <c r="I16" s="19"/>
    </row>
    <row r="17" ht="20.05" customHeight="1">
      <c r="B17" s="15">
        <v>2018</v>
      </c>
      <c r="C17" s="16">
        <v>51287</v>
      </c>
      <c r="D17" s="17">
        <v>9850</v>
      </c>
      <c r="E17" s="17">
        <v>61137</v>
      </c>
      <c r="F17" s="18"/>
      <c r="G17" s="19">
        <f>E17/E16-1</f>
        <v>-0.307566851279263</v>
      </c>
      <c r="H17" s="19">
        <f>('Cash Flow - Cash Flow quarterly'!C16+'Cash Flow - Cash Flow quarterly'!D16+'Cash Flow - Cash Flow quarterly'!E16-E17)/E17</f>
        <v>-0.707067733123967</v>
      </c>
      <c r="I17" s="19"/>
    </row>
    <row r="18" ht="20.05" customHeight="1">
      <c r="B18" s="20"/>
      <c r="C18" s="16">
        <v>43095</v>
      </c>
      <c r="D18" s="17">
        <v>10170</v>
      </c>
      <c r="E18" s="17">
        <v>53265</v>
      </c>
      <c r="F18" s="18"/>
      <c r="G18" s="19">
        <f>E18/E17-1</f>
        <v>-0.128759998037195</v>
      </c>
      <c r="H18" s="19">
        <f>('Cash Flow - Cash Flow quarterly'!C17+'Cash Flow - Cash Flow quarterly'!D17+'Cash Flow - Cash Flow quarterly'!E17-E18)/E18</f>
        <v>-0.708345067117244</v>
      </c>
      <c r="I18" s="19"/>
    </row>
    <row r="19" ht="20.05" customHeight="1">
      <c r="B19" s="20"/>
      <c r="C19" s="16">
        <v>52301</v>
      </c>
      <c r="D19" s="17">
        <v>10599</v>
      </c>
      <c r="E19" s="17">
        <f>265595-SUM(E16:E18)</f>
        <v>62900</v>
      </c>
      <c r="F19" s="18"/>
      <c r="G19" s="19">
        <f>E19/E18-1</f>
        <v>0.180888012766357</v>
      </c>
      <c r="H19" s="19">
        <f>('Cash Flow - Cash Flow quarterly'!C18+'Cash Flow - Cash Flow quarterly'!D18+'Cash Flow - Cash Flow quarterly'!E18-E19)/E19</f>
        <v>-0.71027027027027</v>
      </c>
      <c r="I19" s="19"/>
    </row>
    <row r="20" ht="20.05" customHeight="1">
      <c r="B20" s="20"/>
      <c r="C20" s="16">
        <v>73435</v>
      </c>
      <c r="D20" s="17">
        <v>10875</v>
      </c>
      <c r="E20" s="17">
        <v>84310</v>
      </c>
      <c r="F20" s="18"/>
      <c r="G20" s="19">
        <f>E20/E19-1</f>
        <v>0.340381558028617</v>
      </c>
      <c r="H20" s="19">
        <f>('Cash Flow - Cash Flow quarterly'!C19+'Cash Flow - Cash Flow quarterly'!D19+'Cash Flow - Cash Flow quarterly'!E19-E20)/E20</f>
        <v>-0.704436009963231</v>
      </c>
      <c r="I20" s="19"/>
    </row>
    <row r="21" ht="20.05" customHeight="1">
      <c r="B21" s="15">
        <v>2019</v>
      </c>
      <c r="C21" s="16">
        <v>46565</v>
      </c>
      <c r="D21" s="17">
        <v>11450</v>
      </c>
      <c r="E21" s="17">
        <v>58015</v>
      </c>
      <c r="F21" s="18"/>
      <c r="G21" s="19">
        <f>E21/E20-1</f>
        <v>-0.311884711184913</v>
      </c>
      <c r="H21" s="19">
        <f>('Cash Flow - Cash Flow quarterly'!C20+'Cash Flow - Cash Flow quarterly'!D20+'Cash Flow - Cash Flow quarterly'!E20-E21)/E21</f>
        <v>-0.722227010255968</v>
      </c>
      <c r="I21" s="19"/>
    </row>
    <row r="22" ht="20.05" customHeight="1">
      <c r="B22" s="20"/>
      <c r="C22" s="16">
        <v>42354</v>
      </c>
      <c r="D22" s="17">
        <v>11455</v>
      </c>
      <c r="E22" s="17">
        <v>53809</v>
      </c>
      <c r="F22" s="18"/>
      <c r="G22" s="19">
        <f>E22/E21-1</f>
        <v>-0.07249849176937</v>
      </c>
      <c r="H22" s="19">
        <f>('Cash Flow - Cash Flow quarterly'!C21+'Cash Flow - Cash Flow quarterly'!D21+'Cash Flow - Cash Flow quarterly'!E21-E22)/E22</f>
        <v>-0.731030125072014</v>
      </c>
      <c r="I22" s="19"/>
    </row>
    <row r="23" ht="20.05" customHeight="1">
      <c r="B23" s="20"/>
      <c r="C23" s="16">
        <v>51529</v>
      </c>
      <c r="D23" s="17">
        <v>12511</v>
      </c>
      <c r="E23" s="17">
        <f>260174-SUM(E20:E22)</f>
        <v>64040</v>
      </c>
      <c r="F23" s="18"/>
      <c r="G23" s="19">
        <f>E23/E22-1</f>
        <v>0.19013547919493</v>
      </c>
      <c r="H23" s="19">
        <f>('Cash Flow - Cash Flow quarterly'!C22+'Cash Flow - Cash Flow quarterly'!D22+'Cash Flow - Cash Flow quarterly'!E22-E23)/E23</f>
        <v>-0.713241723922548</v>
      </c>
      <c r="I23" s="19"/>
    </row>
    <row r="24" ht="20.05" customHeight="1">
      <c r="B24" s="20"/>
      <c r="C24" s="16">
        <v>79104</v>
      </c>
      <c r="D24" s="17">
        <v>12715</v>
      </c>
      <c r="E24" s="17">
        <v>91819</v>
      </c>
      <c r="F24" s="18"/>
      <c r="G24" s="19">
        <f>E24/E23-1</f>
        <v>0.433775765146783</v>
      </c>
      <c r="H24" s="19">
        <f>('Cash Flow - Cash Flow quarterly'!C23+'Cash Flow - Cash Flow quarterly'!D23+'Cash Flow - Cash Flow quarterly'!E23-E24)/E24</f>
        <v>-0.713882747579477</v>
      </c>
      <c r="I24" s="21"/>
    </row>
    <row r="25" ht="20.05" customHeight="1">
      <c r="B25" s="15">
        <v>2020</v>
      </c>
      <c r="C25" s="16">
        <v>44965</v>
      </c>
      <c r="D25" s="17">
        <v>13348</v>
      </c>
      <c r="E25" s="17">
        <v>58313</v>
      </c>
      <c r="F25" s="17">
        <v>63816.5</v>
      </c>
      <c r="G25" s="19">
        <f>E25/E24-1</f>
        <v>-0.364913579978</v>
      </c>
      <c r="H25" s="19">
        <f>('Cash Flow - Cash Flow quarterly'!C24+'Cash Flow - Cash Flow quarterly'!D24+'Cash Flow - Cash Flow quarterly'!E24-E25)/E25</f>
        <v>-0.737399893677225</v>
      </c>
      <c r="I25" s="21"/>
    </row>
    <row r="26" ht="20.05" customHeight="1">
      <c r="B26" s="20"/>
      <c r="C26" s="16">
        <v>46529</v>
      </c>
      <c r="D26" s="17">
        <v>13156</v>
      </c>
      <c r="E26" s="17">
        <v>59685</v>
      </c>
      <c r="F26" s="17">
        <v>48428.1</v>
      </c>
      <c r="G26" s="19">
        <f>E26/E25-1</f>
        <v>0.0235282012587245</v>
      </c>
      <c r="H26" s="19">
        <f>('Cash Flow - Cash Flow quarterly'!C25+'Cash Flow - Cash Flow quarterly'!D25+'Cash Flow - Cash Flow quarterly'!E25-E26)/E26</f>
        <v>-0.720180949987434</v>
      </c>
      <c r="I26" s="21"/>
    </row>
    <row r="27" ht="20.05" customHeight="1">
      <c r="B27" s="20"/>
      <c r="C27" s="22">
        <v>50149</v>
      </c>
      <c r="D27" s="18">
        <v>14549</v>
      </c>
      <c r="E27" s="18">
        <v>64698</v>
      </c>
      <c r="F27" s="17">
        <v>62759.2</v>
      </c>
      <c r="G27" s="19">
        <f>E27/E26-1</f>
        <v>0.0839909525006283</v>
      </c>
      <c r="H27" s="19">
        <f>('Cash Flow - Cash Flow quarterly'!C26+'Cash Flow - Cash Flow quarterly'!D26+'Cash Flow - Cash Flow quarterly'!E26-E27)/E27</f>
        <v>-0.74189310334168</v>
      </c>
      <c r="I27" s="19"/>
    </row>
    <row r="28" ht="20.05" customHeight="1">
      <c r="B28" s="20"/>
      <c r="C28" s="16">
        <v>95678</v>
      </c>
      <c r="D28" s="17">
        <v>15761</v>
      </c>
      <c r="E28" s="17">
        <v>111439</v>
      </c>
      <c r="F28" s="17">
        <v>90577.2</v>
      </c>
      <c r="G28" s="19">
        <f>E28/E27-1</f>
        <v>0.722448916504374</v>
      </c>
      <c r="H28" s="19">
        <f>('Cash Flow - Cash Flow quarterly'!C27+'Cash Flow - Cash Flow quarterly'!D27+'Cash Flow - Cash Flow quarterly'!E27-E28)/E28</f>
        <v>-0.700392142786637</v>
      </c>
      <c r="I28" s="19">
        <f>H28</f>
        <v>-0.700392142786637</v>
      </c>
    </row>
    <row r="29" ht="20.05" customHeight="1">
      <c r="B29" s="15">
        <v>2021</v>
      </c>
      <c r="C29" s="22"/>
      <c r="D29" s="18"/>
      <c r="E29" s="18"/>
      <c r="F29" s="17">
        <f>'Model - Financial model'!C6</f>
        <v>81350.47</v>
      </c>
      <c r="G29" s="19"/>
      <c r="H29" s="21"/>
      <c r="I29" s="19">
        <f>AVERAGE('Model - Financial model'!C7:F7)</f>
        <v>-0.714010456738147</v>
      </c>
    </row>
    <row r="30" ht="20.05" customHeight="1">
      <c r="B30" s="20"/>
      <c r="C30" s="22"/>
      <c r="D30" s="18"/>
      <c r="E30" s="18"/>
      <c r="F30" s="17">
        <f>'Model - Financial model'!D6</f>
        <v>75655.9371</v>
      </c>
      <c r="G30" s="19"/>
      <c r="H30" s="21"/>
      <c r="I30" s="19"/>
    </row>
    <row r="31" ht="20.05" customHeight="1">
      <c r="B31" s="20"/>
      <c r="C31" s="22"/>
      <c r="D31" s="18"/>
      <c r="E31" s="18"/>
      <c r="F31" s="17">
        <f>'Model - Financial model'!E6</f>
        <v>90787.12452</v>
      </c>
      <c r="G31" s="21"/>
      <c r="H31" s="21"/>
      <c r="I31" s="19"/>
    </row>
    <row r="32" ht="20.05" customHeight="1">
      <c r="B32" s="20"/>
      <c r="C32" s="22"/>
      <c r="D32" s="18"/>
      <c r="E32" s="18"/>
      <c r="F32" s="17">
        <f>'Model - Financial model'!F6</f>
        <v>118023.261876</v>
      </c>
      <c r="G32" s="21"/>
      <c r="H32" s="21"/>
      <c r="I32" s="19"/>
    </row>
  </sheetData>
  <mergeCells count="1">
    <mergeCell ref="B2:I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B3:M28"/>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4.71875" style="23" customWidth="1"/>
    <col min="2" max="2" width="9.63281" style="23" customWidth="1"/>
    <col min="3" max="3" width="9.6875" style="23" customWidth="1"/>
    <col min="4" max="4" width="12.1719" style="23" customWidth="1"/>
    <col min="5" max="13" width="9.6875" style="23" customWidth="1"/>
    <col min="14" max="16384" width="16.3516" style="23" customWidth="1"/>
  </cols>
  <sheetData>
    <row r="1" ht="26.9" customHeight="1"/>
    <row r="2" ht="27.65" customHeight="1">
      <c r="B2" t="s" s="7">
        <v>14</v>
      </c>
      <c r="C2" s="7"/>
      <c r="D2" s="7"/>
      <c r="E2" s="7"/>
      <c r="F2" s="7"/>
      <c r="G2" s="7"/>
      <c r="H2" s="7"/>
      <c r="I2" s="7"/>
      <c r="J2" s="7"/>
      <c r="K2" s="7"/>
      <c r="L2" s="7"/>
      <c r="M2" s="7"/>
    </row>
    <row r="3" ht="44.25" customHeight="1">
      <c r="B3" t="s" s="8">
        <v>7</v>
      </c>
      <c r="C3" t="s" s="8">
        <v>16</v>
      </c>
      <c r="D3" t="s" s="8">
        <v>17</v>
      </c>
      <c r="E3" t="s" s="8">
        <v>18</v>
      </c>
      <c r="F3" t="s" s="8">
        <v>19</v>
      </c>
      <c r="G3" t="s" s="8">
        <v>20</v>
      </c>
      <c r="H3" t="s" s="8">
        <v>21</v>
      </c>
      <c r="I3" t="s" s="8">
        <v>22</v>
      </c>
      <c r="J3" t="s" s="8">
        <v>23</v>
      </c>
      <c r="K3" t="s" s="8">
        <v>24</v>
      </c>
      <c r="L3" t="s" s="8">
        <v>10</v>
      </c>
      <c r="M3" t="s" s="8">
        <v>25</v>
      </c>
    </row>
    <row r="4" ht="20.35" customHeight="1">
      <c r="B4" s="24">
        <v>2015</v>
      </c>
      <c r="C4" s="10">
        <v>13569</v>
      </c>
      <c r="D4" s="11">
        <v>2479</v>
      </c>
      <c r="E4" s="11"/>
      <c r="F4" s="11">
        <v>2424</v>
      </c>
      <c r="G4" s="11">
        <v>-2793</v>
      </c>
      <c r="H4" s="11">
        <v>19081</v>
      </c>
      <c r="I4" s="11">
        <v>-22331</v>
      </c>
      <c r="J4" s="11">
        <v>-1739</v>
      </c>
      <c r="K4" s="11">
        <f>H4+G4</f>
        <v>16288</v>
      </c>
      <c r="L4" s="11"/>
      <c r="M4" s="11"/>
    </row>
    <row r="5" ht="20.15" customHeight="1">
      <c r="B5" s="20"/>
      <c r="C5" s="16">
        <v>10677</v>
      </c>
      <c r="D5" s="17">
        <v>3084</v>
      </c>
      <c r="E5" s="17"/>
      <c r="F5" s="17">
        <v>-570</v>
      </c>
      <c r="G5" s="17">
        <v>-2043</v>
      </c>
      <c r="H5" s="17">
        <v>14988</v>
      </c>
      <c r="I5" s="17">
        <v>-11403</v>
      </c>
      <c r="J5" s="17">
        <v>-2755</v>
      </c>
      <c r="K5" s="17">
        <f>H5+G5</f>
        <v>12945</v>
      </c>
      <c r="L5" s="17"/>
      <c r="M5" s="17"/>
    </row>
    <row r="6" ht="20.15" customHeight="1">
      <c r="B6" s="20"/>
      <c r="C6" s="16">
        <v>11124</v>
      </c>
      <c r="D6" s="17">
        <v>3119</v>
      </c>
      <c r="E6" s="17"/>
      <c r="F6" s="17">
        <v>41640</v>
      </c>
      <c r="G6" s="17">
        <v>-3618</v>
      </c>
      <c r="H6" s="17">
        <v>13475</v>
      </c>
      <c r="I6" s="17">
        <v>-1375</v>
      </c>
      <c r="J6" s="17">
        <v>-6299</v>
      </c>
      <c r="K6" s="17">
        <f>H6+G6</f>
        <v>9857</v>
      </c>
      <c r="L6" s="17"/>
      <c r="M6" s="17"/>
    </row>
    <row r="7" ht="20.15" customHeight="1">
      <c r="B7" s="20"/>
      <c r="C7" s="16">
        <v>18361</v>
      </c>
      <c r="D7" s="17">
        <v>2954</v>
      </c>
      <c r="E7" s="17"/>
      <c r="F7" s="17">
        <v>3368</v>
      </c>
      <c r="G7" s="17">
        <v>-3612</v>
      </c>
      <c r="H7" s="17">
        <v>27463</v>
      </c>
      <c r="I7" s="17">
        <v>-20450</v>
      </c>
      <c r="J7" s="17">
        <v>-11444</v>
      </c>
      <c r="K7" s="17">
        <f>H7+G7</f>
        <v>23851</v>
      </c>
      <c r="L7" s="17"/>
      <c r="M7" s="17"/>
    </row>
    <row r="8" ht="20.15" customHeight="1">
      <c r="B8" s="15">
        <v>2016</v>
      </c>
      <c r="C8" s="16">
        <v>10516</v>
      </c>
      <c r="D8" s="17">
        <v>2477</v>
      </c>
      <c r="E8" s="17">
        <v>1063</v>
      </c>
      <c r="F8" s="17">
        <v>-4138</v>
      </c>
      <c r="G8" s="17">
        <v>-2336</v>
      </c>
      <c r="H8" s="17">
        <v>11601</v>
      </c>
      <c r="I8" s="17">
        <v>-13660</v>
      </c>
      <c r="J8" s="17">
        <v>6884</v>
      </c>
      <c r="K8" s="17">
        <f>H8+G8</f>
        <v>9265</v>
      </c>
      <c r="L8" s="17"/>
      <c r="M8" s="17">
        <f>-J8+M7</f>
        <v>-6884</v>
      </c>
    </row>
    <row r="9" ht="20.15" customHeight="1">
      <c r="B9" s="20"/>
      <c r="C9" s="16">
        <v>7796</v>
      </c>
      <c r="D9" s="17">
        <v>2526</v>
      </c>
      <c r="E9" s="17">
        <v>1054</v>
      </c>
      <c r="F9" s="17">
        <v>-2952</v>
      </c>
      <c r="G9" s="17">
        <v>-2809</v>
      </c>
      <c r="H9" s="17">
        <v>10634</v>
      </c>
      <c r="I9" s="17">
        <v>-4470</v>
      </c>
      <c r="J9" s="17">
        <v>-9441</v>
      </c>
      <c r="K9" s="17">
        <f>H9+G9</f>
        <v>7825</v>
      </c>
      <c r="L9" s="17"/>
      <c r="M9" s="17">
        <f>-J9+M8</f>
        <v>2557</v>
      </c>
    </row>
    <row r="10" ht="20.15" customHeight="1">
      <c r="B10" s="20"/>
      <c r="C10" s="16">
        <v>9014</v>
      </c>
      <c r="D10" s="17">
        <v>2548</v>
      </c>
      <c r="E10" s="17">
        <v>1030</v>
      </c>
      <c r="F10" s="17">
        <v>4127</v>
      </c>
      <c r="G10" s="17">
        <v>-3977</v>
      </c>
      <c r="H10" s="17">
        <v>16533</v>
      </c>
      <c r="I10" s="17">
        <v>-7397</v>
      </c>
      <c r="J10" s="17">
        <v>-6889</v>
      </c>
      <c r="K10" s="17">
        <f>H10+G10</f>
        <v>12556</v>
      </c>
      <c r="L10" s="17"/>
      <c r="M10" s="17">
        <f>-J10+M9</f>
        <v>9446</v>
      </c>
    </row>
    <row r="11" ht="20.15" customHeight="1">
      <c r="B11" s="20"/>
      <c r="C11" s="16">
        <v>17891</v>
      </c>
      <c r="D11" s="17">
        <v>2987</v>
      </c>
      <c r="E11" s="17">
        <v>1256</v>
      </c>
      <c r="F11" s="17">
        <v>3922</v>
      </c>
      <c r="G11" s="17">
        <v>-3334</v>
      </c>
      <c r="H11" s="17">
        <v>27234</v>
      </c>
      <c r="I11" s="17">
        <v>-19122</v>
      </c>
      <c r="J11" s="17">
        <v>-12225</v>
      </c>
      <c r="K11" s="17">
        <f>H11+G11</f>
        <v>23900</v>
      </c>
      <c r="L11" s="17"/>
      <c r="M11" s="17">
        <f>-J11+M10</f>
        <v>21671</v>
      </c>
    </row>
    <row r="12" ht="20.15" customHeight="1">
      <c r="B12" s="15">
        <v>2017</v>
      </c>
      <c r="C12" s="16">
        <v>11029</v>
      </c>
      <c r="D12" s="17">
        <v>2332</v>
      </c>
      <c r="E12" s="17">
        <v>1217</v>
      </c>
      <c r="F12" s="17">
        <v>479</v>
      </c>
      <c r="G12" s="17">
        <v>-2975</v>
      </c>
      <c r="H12" s="17">
        <v>12570</v>
      </c>
      <c r="I12" s="17">
        <v>-14202</v>
      </c>
      <c r="J12" s="17">
        <v>418</v>
      </c>
      <c r="K12" s="17">
        <f>H12+G12</f>
        <v>9595</v>
      </c>
      <c r="L12" s="17"/>
      <c r="M12" s="17">
        <f>-J12+M11</f>
        <v>21253</v>
      </c>
    </row>
    <row r="13" ht="20.15" customHeight="1">
      <c r="B13" s="20"/>
      <c r="C13" s="16">
        <v>8717</v>
      </c>
      <c r="D13" s="17">
        <v>2354</v>
      </c>
      <c r="E13" s="17">
        <v>1193</v>
      </c>
      <c r="F13" s="17">
        <v>-5122</v>
      </c>
      <c r="G13" s="17">
        <v>-2277</v>
      </c>
      <c r="H13" s="17">
        <v>8672</v>
      </c>
      <c r="I13" s="17">
        <v>-3180</v>
      </c>
      <c r="J13" s="17">
        <v>-2078</v>
      </c>
      <c r="K13" s="17">
        <f>H13+G13</f>
        <v>6395</v>
      </c>
      <c r="L13" s="17"/>
      <c r="M13" s="17">
        <f>-J13+M12</f>
        <v>23331</v>
      </c>
    </row>
    <row r="14" ht="20.15" customHeight="1">
      <c r="B14" s="20"/>
      <c r="C14" s="16">
        <v>10714</v>
      </c>
      <c r="D14" s="17">
        <v>2484</v>
      </c>
      <c r="E14" s="17">
        <v>1174</v>
      </c>
      <c r="F14" s="17">
        <v>-4923</v>
      </c>
      <c r="G14" s="17">
        <v>-3865</v>
      </c>
      <c r="H14" s="17">
        <v>15749</v>
      </c>
      <c r="I14" s="17">
        <v>-9942</v>
      </c>
      <c r="J14" s="17">
        <v>-4089</v>
      </c>
      <c r="K14" s="17">
        <f>H14+G14</f>
        <v>11884</v>
      </c>
      <c r="L14" s="17"/>
      <c r="M14" s="17">
        <f>-J14+M13</f>
        <v>27420</v>
      </c>
    </row>
    <row r="15" ht="20.15" customHeight="1">
      <c r="B15" s="20"/>
      <c r="C15" s="16">
        <v>20065</v>
      </c>
      <c r="D15" s="17">
        <v>2745</v>
      </c>
      <c r="E15" s="17">
        <v>1296</v>
      </c>
      <c r="F15" s="17">
        <v>37935</v>
      </c>
      <c r="G15" s="17">
        <v>-2810</v>
      </c>
      <c r="H15" s="17">
        <v>2745</v>
      </c>
      <c r="I15" s="17">
        <v>2745</v>
      </c>
      <c r="J15" s="17">
        <v>2745</v>
      </c>
      <c r="K15" s="17">
        <f>H15+G15</f>
        <v>-65</v>
      </c>
      <c r="L15" s="17"/>
      <c r="M15" s="17">
        <f>-J15+M14</f>
        <v>24675</v>
      </c>
    </row>
    <row r="16" ht="20.15" customHeight="1">
      <c r="B16" s="15">
        <v>2018</v>
      </c>
      <c r="C16" s="16">
        <v>13822</v>
      </c>
      <c r="D16" s="17">
        <v>2739</v>
      </c>
      <c r="E16" s="17">
        <v>1348</v>
      </c>
      <c r="F16" s="17">
        <v>35794</v>
      </c>
      <c r="G16" s="17">
        <v>-4195</v>
      </c>
      <c r="H16" s="17">
        <v>15130</v>
      </c>
      <c r="I16" s="17">
        <v>28710</v>
      </c>
      <c r="J16" s="17">
        <v>-26272</v>
      </c>
      <c r="K16" s="17">
        <f>H16+G16</f>
        <v>10935</v>
      </c>
      <c r="L16" s="17"/>
      <c r="M16" s="17">
        <f>-J16+M15</f>
        <v>50947</v>
      </c>
    </row>
    <row r="17" ht="20.15" customHeight="1">
      <c r="B17" s="20"/>
      <c r="C17" s="16">
        <v>11519</v>
      </c>
      <c r="D17" s="17">
        <v>2665</v>
      </c>
      <c r="E17" s="17">
        <v>1351</v>
      </c>
      <c r="F17" s="17">
        <v>33880</v>
      </c>
      <c r="G17" s="17">
        <v>-3267</v>
      </c>
      <c r="H17" s="17">
        <v>14488</v>
      </c>
      <c r="I17" s="17">
        <v>3947</v>
      </c>
      <c r="J17" s="17">
        <v>-31523</v>
      </c>
      <c r="K17" s="17">
        <f>H17+G17</f>
        <v>11221</v>
      </c>
      <c r="L17" s="17"/>
      <c r="M17" s="17">
        <f>-J17+M16</f>
        <v>82470</v>
      </c>
    </row>
    <row r="18" ht="20.15" customHeight="1">
      <c r="B18" s="20"/>
      <c r="C18" s="16">
        <v>14125</v>
      </c>
      <c r="D18" s="17">
        <v>2754</v>
      </c>
      <c r="E18" s="17">
        <v>1345</v>
      </c>
      <c r="F18" s="17">
        <v>34694</v>
      </c>
      <c r="G18" s="17">
        <v>-3041</v>
      </c>
      <c r="H18" s="17">
        <v>19523</v>
      </c>
      <c r="I18" s="17">
        <v>-3001</v>
      </c>
      <c r="J18" s="17">
        <v>-22580</v>
      </c>
      <c r="K18" s="17">
        <f>H18+G18</f>
        <v>16482</v>
      </c>
      <c r="L18" s="17"/>
      <c r="M18" s="17">
        <f>-J18+M17</f>
        <v>105050</v>
      </c>
    </row>
    <row r="19" ht="20.15" customHeight="1">
      <c r="B19" s="20"/>
      <c r="C19" s="16">
        <v>19965</v>
      </c>
      <c r="D19" s="17">
        <v>3395</v>
      </c>
      <c r="E19" s="17">
        <v>1559</v>
      </c>
      <c r="F19" s="17">
        <v>1772</v>
      </c>
      <c r="G19" s="17">
        <v>-3355</v>
      </c>
      <c r="H19" s="17">
        <v>26690</v>
      </c>
      <c r="I19" s="17">
        <v>5844</v>
      </c>
      <c r="J19" s="17">
        <v>-13676</v>
      </c>
      <c r="K19" s="17">
        <f>H19+G19</f>
        <v>23335</v>
      </c>
      <c r="L19" s="17"/>
      <c r="M19" s="17">
        <f>-J19+M18</f>
        <v>118726</v>
      </c>
    </row>
    <row r="20" ht="20.15" customHeight="1">
      <c r="B20" s="15">
        <v>2019</v>
      </c>
      <c r="C20" s="16">
        <v>11561</v>
      </c>
      <c r="D20" s="17">
        <v>3040</v>
      </c>
      <c r="E20" s="17">
        <v>1514</v>
      </c>
      <c r="F20" s="17">
        <v>-2850</v>
      </c>
      <c r="G20" s="17">
        <v>-2363</v>
      </c>
      <c r="H20" s="17">
        <v>11155</v>
      </c>
      <c r="I20" s="17">
        <v>13348</v>
      </c>
      <c r="J20" s="17">
        <v>-29457</v>
      </c>
      <c r="K20" s="17">
        <f>H20+G20</f>
        <v>8792</v>
      </c>
      <c r="L20" s="17"/>
      <c r="M20" s="17">
        <f>-J20+M19</f>
        <v>148183</v>
      </c>
    </row>
    <row r="21" ht="20.15" customHeight="1">
      <c r="B21" s="20"/>
      <c r="C21" s="16">
        <v>10044</v>
      </c>
      <c r="D21" s="17">
        <v>2933</v>
      </c>
      <c r="E21" s="17">
        <v>1496</v>
      </c>
      <c r="F21" s="17">
        <v>-5648</v>
      </c>
      <c r="G21" s="17">
        <v>-2000</v>
      </c>
      <c r="H21" s="17">
        <v>11636</v>
      </c>
      <c r="I21" s="17">
        <v>27502</v>
      </c>
      <c r="J21" s="17">
        <v>-26804</v>
      </c>
      <c r="K21" s="17">
        <f>H21+G21</f>
        <v>9636</v>
      </c>
      <c r="L21" s="17"/>
      <c r="M21" s="17">
        <f>-J21+M20</f>
        <v>174987</v>
      </c>
    </row>
    <row r="22" ht="20.15" customHeight="1">
      <c r="B22" s="20"/>
      <c r="C22" s="16">
        <v>13686</v>
      </c>
      <c r="D22" s="17">
        <v>3179</v>
      </c>
      <c r="E22" s="17">
        <v>1499</v>
      </c>
      <c r="F22" s="17">
        <v>-3488</v>
      </c>
      <c r="G22" s="17">
        <v>-2777</v>
      </c>
      <c r="H22" s="17">
        <v>19910</v>
      </c>
      <c r="I22" s="17">
        <v>-798</v>
      </c>
      <c r="J22" s="17">
        <v>-21039</v>
      </c>
      <c r="K22" s="17">
        <f>H22+G22</f>
        <v>17133</v>
      </c>
      <c r="L22" s="17"/>
      <c r="M22" s="17">
        <f>-J22+M21</f>
        <v>196026</v>
      </c>
    </row>
    <row r="23" ht="20.15" customHeight="1">
      <c r="B23" s="20"/>
      <c r="C23" s="16">
        <v>22236</v>
      </c>
      <c r="D23" s="17">
        <v>2816</v>
      </c>
      <c r="E23" s="17">
        <v>1219</v>
      </c>
      <c r="F23" s="17">
        <v>4245</v>
      </c>
      <c r="G23" s="17">
        <v>-2107</v>
      </c>
      <c r="H23" s="17">
        <v>30516</v>
      </c>
      <c r="I23" s="17">
        <v>-13668</v>
      </c>
      <c r="J23" s="17">
        <v>-25407</v>
      </c>
      <c r="K23" s="17">
        <f>H23+G23</f>
        <v>28409</v>
      </c>
      <c r="L23" s="17"/>
      <c r="M23" s="17">
        <f>-J23+M22</f>
        <v>221433</v>
      </c>
    </row>
    <row r="24" ht="20.15" customHeight="1">
      <c r="B24" s="15">
        <v>2020</v>
      </c>
      <c r="C24" s="16">
        <v>11249</v>
      </c>
      <c r="D24" s="17">
        <v>2786</v>
      </c>
      <c r="E24" s="17">
        <v>1278</v>
      </c>
      <c r="F24" s="17">
        <v>-2002</v>
      </c>
      <c r="G24" s="17">
        <v>-1853</v>
      </c>
      <c r="H24" s="17">
        <v>13311</v>
      </c>
      <c r="I24" s="17">
        <v>9013</v>
      </c>
      <c r="J24" s="17">
        <v>-20940</v>
      </c>
      <c r="K24" s="17">
        <f>H24+G24</f>
        <v>11458</v>
      </c>
      <c r="L24" s="17"/>
      <c r="M24" s="17">
        <f>-J24+M23</f>
        <v>242373</v>
      </c>
    </row>
    <row r="25" ht="20.15" customHeight="1">
      <c r="B25" s="20"/>
      <c r="C25" s="16">
        <v>11253</v>
      </c>
      <c r="D25" s="17">
        <v>2752</v>
      </c>
      <c r="E25" s="17">
        <v>2696</v>
      </c>
      <c r="F25" s="17">
        <v>-430</v>
      </c>
      <c r="G25" s="17">
        <v>-1565</v>
      </c>
      <c r="H25" s="17">
        <v>16271</v>
      </c>
      <c r="I25" s="17">
        <v>-5165</v>
      </c>
      <c r="J25" s="17">
        <v>-19116</v>
      </c>
      <c r="K25" s="17">
        <f>H25+G25</f>
        <v>14706</v>
      </c>
      <c r="L25" s="17"/>
      <c r="M25" s="17">
        <f>-J25+M24</f>
        <v>261489</v>
      </c>
    </row>
    <row r="26" ht="20.15" customHeight="1">
      <c r="B26" s="20"/>
      <c r="C26" s="16">
        <v>12673</v>
      </c>
      <c r="D26" s="17">
        <v>2702</v>
      </c>
      <c r="E26" s="17">
        <v>1324</v>
      </c>
      <c r="F26" s="17">
        <v>7502</v>
      </c>
      <c r="G26" s="17">
        <v>-1784</v>
      </c>
      <c r="H26" s="17">
        <v>20576</v>
      </c>
      <c r="I26" s="17">
        <f>-4289-I25-I24-I23</f>
        <v>5531</v>
      </c>
      <c r="J26" s="17">
        <v>-21357</v>
      </c>
      <c r="K26" s="17">
        <f>H26+G26</f>
        <v>18792</v>
      </c>
      <c r="L26" s="17"/>
      <c r="M26" s="17">
        <f>-J26+M25</f>
        <v>282846</v>
      </c>
    </row>
    <row r="27" ht="20.15" customHeight="1">
      <c r="B27" s="20"/>
      <c r="C27" s="16">
        <v>28755</v>
      </c>
      <c r="D27" s="17">
        <v>2666</v>
      </c>
      <c r="E27" s="17">
        <f>2000-58+25</f>
        <v>1967</v>
      </c>
      <c r="F27" s="17">
        <f>H27-E27-D27-C27</f>
        <v>5375</v>
      </c>
      <c r="G27" s="17">
        <v>-3500</v>
      </c>
      <c r="H27" s="17">
        <v>38763</v>
      </c>
      <c r="I27" s="17">
        <v>-8584</v>
      </c>
      <c r="J27" s="17">
        <v>-32249</v>
      </c>
      <c r="K27" s="17">
        <f>H27+G27</f>
        <v>35263</v>
      </c>
      <c r="L27" s="17">
        <f>AVERAGE(K24:K27)</f>
        <v>20054.75</v>
      </c>
      <c r="M27" s="17">
        <f>-J27+M26</f>
        <v>315095</v>
      </c>
    </row>
    <row r="28" ht="20.15" customHeight="1">
      <c r="B28" s="20"/>
      <c r="C28" s="16"/>
      <c r="D28" s="17"/>
      <c r="E28" s="17"/>
      <c r="F28" s="17"/>
      <c r="G28" s="17"/>
      <c r="H28" s="17"/>
      <c r="I28" s="17"/>
      <c r="J28" s="17">
        <f>SUM('Model - Financial model'!C11:F11)</f>
        <v>-94593.5916254988</v>
      </c>
      <c r="K28" s="17"/>
      <c r="L28" s="17">
        <f>SUM('Model - Financial model'!C9:F10)/4</f>
        <v>23648.3979063747</v>
      </c>
      <c r="M28" s="17">
        <f>-J28+M27</f>
        <v>409688.591625499</v>
      </c>
    </row>
  </sheetData>
  <mergeCells count="1">
    <mergeCell ref="B2:M2"/>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B3:K28"/>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18.1562" style="25" customWidth="1"/>
    <col min="2" max="2" width="9.03906" style="25" customWidth="1"/>
    <col min="3" max="11" width="11.9609" style="25" customWidth="1"/>
    <col min="12" max="16384" width="16.3516" style="25" customWidth="1"/>
  </cols>
  <sheetData>
    <row r="1" ht="35.7" customHeight="1"/>
    <row r="2" ht="27.65" customHeight="1">
      <c r="B2" t="s" s="7">
        <v>27</v>
      </c>
      <c r="C2" s="7"/>
      <c r="D2" s="7"/>
      <c r="E2" s="7"/>
      <c r="F2" s="7"/>
      <c r="G2" s="7"/>
      <c r="H2" s="7"/>
      <c r="I2" s="7"/>
      <c r="J2" s="7"/>
      <c r="K2" s="7"/>
    </row>
    <row r="3" ht="20.25" customHeight="1">
      <c r="B3" t="s" s="8">
        <v>7</v>
      </c>
      <c r="C3" t="s" s="8">
        <v>29</v>
      </c>
      <c r="D3" t="s" s="8">
        <v>27</v>
      </c>
      <c r="E3" t="s" s="8">
        <v>30</v>
      </c>
      <c r="F3" t="s" s="8">
        <v>31</v>
      </c>
      <c r="G3" t="s" s="8">
        <v>32</v>
      </c>
      <c r="H3" t="s" s="8">
        <v>33</v>
      </c>
      <c r="I3" t="s" s="8">
        <v>34</v>
      </c>
      <c r="J3" t="s" s="8">
        <v>35</v>
      </c>
      <c r="K3" t="s" s="8">
        <v>10</v>
      </c>
    </row>
    <row r="4" ht="20.25" customHeight="1">
      <c r="B4" s="24">
        <v>2015</v>
      </c>
      <c r="C4" s="10">
        <v>14489</v>
      </c>
      <c r="D4" s="11">
        <v>261194</v>
      </c>
      <c r="E4" s="11">
        <f>D4-C4</f>
        <v>246705</v>
      </c>
      <c r="F4" s="11">
        <v>22309</v>
      </c>
      <c r="G4" s="11">
        <v>132188</v>
      </c>
      <c r="H4" s="11">
        <v>129006</v>
      </c>
      <c r="I4" s="11">
        <f>G4+H4-C4-E4</f>
        <v>0</v>
      </c>
      <c r="J4" s="11">
        <f>C4-G4</f>
        <v>-117699</v>
      </c>
      <c r="K4" s="11"/>
    </row>
    <row r="5" ht="20.05" customHeight="1">
      <c r="B5" s="20"/>
      <c r="C5" s="16">
        <v>15319</v>
      </c>
      <c r="D5" s="17">
        <v>273151</v>
      </c>
      <c r="E5" s="17">
        <f>D5-C5</f>
        <v>257832</v>
      </c>
      <c r="F5" s="17">
        <v>24395</v>
      </c>
      <c r="G5" s="17">
        <v>147474</v>
      </c>
      <c r="H5" s="17">
        <v>125677</v>
      </c>
      <c r="I5" s="17">
        <f>G5+H5-C5-E5</f>
        <v>0</v>
      </c>
      <c r="J5" s="17">
        <f>C5-G5</f>
        <v>-132155</v>
      </c>
      <c r="K5" s="17"/>
    </row>
    <row r="6" ht="20.05" customHeight="1">
      <c r="B6" s="20"/>
      <c r="C6" s="16">
        <v>21120</v>
      </c>
      <c r="D6" s="17">
        <v>290345</v>
      </c>
      <c r="E6" s="17">
        <f>D6-C6</f>
        <v>269225</v>
      </c>
      <c r="F6" s="17">
        <v>26786</v>
      </c>
      <c r="G6" s="17">
        <v>170990</v>
      </c>
      <c r="H6" s="17">
        <v>119355</v>
      </c>
      <c r="I6" s="17">
        <f>G6+H6-C6-E6</f>
        <v>0</v>
      </c>
      <c r="J6" s="17">
        <f>C6-G6</f>
        <v>-149870</v>
      </c>
      <c r="K6" s="17"/>
    </row>
    <row r="7" ht="20.05" customHeight="1">
      <c r="B7" s="20"/>
      <c r="C7" s="16">
        <v>16689</v>
      </c>
      <c r="D7" s="17">
        <v>293284</v>
      </c>
      <c r="E7" s="17">
        <f>D7-C7</f>
        <v>276595</v>
      </c>
      <c r="F7" s="17">
        <v>29042</v>
      </c>
      <c r="G7" s="17">
        <v>165017</v>
      </c>
      <c r="H7" s="17">
        <v>128267</v>
      </c>
      <c r="I7" s="17">
        <f>G7+H7-C7-E7</f>
        <v>0</v>
      </c>
      <c r="J7" s="17">
        <f>C7-G7</f>
        <v>-148328</v>
      </c>
      <c r="K7" s="17"/>
    </row>
    <row r="8" ht="20.05" customHeight="1">
      <c r="B8" s="15">
        <v>2016</v>
      </c>
      <c r="C8" s="16">
        <v>21514</v>
      </c>
      <c r="D8" s="17">
        <v>305277</v>
      </c>
      <c r="E8" s="17">
        <f>D8-C8</f>
        <v>283763</v>
      </c>
      <c r="F8" s="17">
        <v>30848</v>
      </c>
      <c r="G8" s="17">
        <v>174820</v>
      </c>
      <c r="H8" s="17">
        <v>130457</v>
      </c>
      <c r="I8" s="17">
        <f>G8+H8-C8-E8</f>
        <v>0</v>
      </c>
      <c r="J8" s="17">
        <f>C8-G8</f>
        <v>-153306</v>
      </c>
      <c r="K8" s="17"/>
    </row>
    <row r="9" ht="20.05" customHeight="1">
      <c r="B9" s="20"/>
      <c r="C9" s="16">
        <v>18237</v>
      </c>
      <c r="D9" s="17">
        <v>305602</v>
      </c>
      <c r="E9" s="17">
        <f>D9-C9</f>
        <v>287365</v>
      </c>
      <c r="F9" s="17">
        <v>32543</v>
      </c>
      <c r="G9" s="17">
        <v>179061</v>
      </c>
      <c r="H9" s="17">
        <v>126541</v>
      </c>
      <c r="I9" s="17">
        <f>G9+H9-C9-E9</f>
        <v>0</v>
      </c>
      <c r="J9" s="17">
        <f>C9-G9</f>
        <v>-160824</v>
      </c>
      <c r="K9" s="17"/>
    </row>
    <row r="10" ht="20.05" customHeight="1">
      <c r="B10" s="20"/>
      <c r="C10" s="16">
        <v>20484</v>
      </c>
      <c r="D10" s="17">
        <v>321686</v>
      </c>
      <c r="E10" s="17">
        <f>D10-C10</f>
        <v>301202</v>
      </c>
      <c r="F10" s="17">
        <v>34235</v>
      </c>
      <c r="G10" s="17">
        <v>193437</v>
      </c>
      <c r="H10" s="17">
        <v>128249</v>
      </c>
      <c r="I10" s="17">
        <f>G10+H10-C10-E10</f>
        <v>0</v>
      </c>
      <c r="J10" s="17">
        <f>C10-G10</f>
        <v>-172953</v>
      </c>
      <c r="K10" s="17"/>
    </row>
    <row r="11" ht="20.05" customHeight="1">
      <c r="B11" s="20"/>
      <c r="C11" s="16">
        <v>16371</v>
      </c>
      <c r="D11" s="17">
        <v>331141</v>
      </c>
      <c r="E11" s="17">
        <f>D11-C11</f>
        <v>314770</v>
      </c>
      <c r="F11" s="17">
        <v>36249</v>
      </c>
      <c r="G11" s="17">
        <v>198751</v>
      </c>
      <c r="H11" s="17">
        <v>132390</v>
      </c>
      <c r="I11" s="17">
        <f>G11+H11-C11-E11</f>
        <v>0</v>
      </c>
      <c r="J11" s="17">
        <f>C11-G11</f>
        <v>-182380</v>
      </c>
      <c r="K11" s="17"/>
    </row>
    <row r="12" ht="20.05" customHeight="1">
      <c r="B12" s="15">
        <v>2017</v>
      </c>
      <c r="C12" s="16">
        <v>15157</v>
      </c>
      <c r="D12" s="17">
        <v>334532</v>
      </c>
      <c r="E12" s="17">
        <f>D12-C12</f>
        <v>319375</v>
      </c>
      <c r="F12" s="17">
        <v>37961</v>
      </c>
      <c r="G12" s="17">
        <v>200450</v>
      </c>
      <c r="H12" s="17">
        <v>134082</v>
      </c>
      <c r="I12" s="17">
        <f>G12+H12-C12-E12</f>
        <v>0</v>
      </c>
      <c r="J12" s="17">
        <f>C12-G12</f>
        <v>-185293</v>
      </c>
      <c r="K12" s="17"/>
    </row>
    <row r="13" ht="20.05" customHeight="1">
      <c r="B13" s="20"/>
      <c r="C13" s="16">
        <v>18571</v>
      </c>
      <c r="D13" s="17">
        <v>345173</v>
      </c>
      <c r="E13" s="17">
        <f>D13-C13</f>
        <v>326602</v>
      </c>
      <c r="F13" s="17">
        <v>39695</v>
      </c>
      <c r="G13" s="17">
        <v>212748</v>
      </c>
      <c r="H13" s="17">
        <v>132425</v>
      </c>
      <c r="I13" s="17">
        <f>G13+H13-C13-E13</f>
        <v>0</v>
      </c>
      <c r="J13" s="17">
        <f>C13-G13</f>
        <v>-194177</v>
      </c>
      <c r="K13" s="17"/>
    </row>
    <row r="14" ht="20.05" customHeight="1">
      <c r="B14" s="20"/>
      <c r="C14" s="16">
        <v>20289</v>
      </c>
      <c r="D14" s="17">
        <v>375319</v>
      </c>
      <c r="E14" s="17">
        <f>D14-C14</f>
        <v>355030</v>
      </c>
      <c r="F14" s="17">
        <v>41293</v>
      </c>
      <c r="G14" s="17">
        <v>241272</v>
      </c>
      <c r="H14" s="17">
        <v>134047</v>
      </c>
      <c r="I14" s="17">
        <f>G14+H14-C14-E14</f>
        <v>0</v>
      </c>
      <c r="J14" s="17">
        <f>C14-G14</f>
        <v>-220983</v>
      </c>
      <c r="K14" s="17"/>
    </row>
    <row r="15" ht="20.05" customHeight="1">
      <c r="B15" s="20"/>
      <c r="C15" s="16">
        <v>27491</v>
      </c>
      <c r="D15" s="17">
        <v>406794</v>
      </c>
      <c r="E15" s="17">
        <f>D15-C15</f>
        <v>379303</v>
      </c>
      <c r="F15" s="17">
        <v>43431</v>
      </c>
      <c r="G15" s="17">
        <v>266595</v>
      </c>
      <c r="H15" s="17">
        <v>140199</v>
      </c>
      <c r="I15" s="17">
        <f>G15+H15-C15-E15</f>
        <v>0</v>
      </c>
      <c r="J15" s="17">
        <f>C15-G15</f>
        <v>-239104</v>
      </c>
      <c r="K15" s="17"/>
    </row>
    <row r="16" ht="20.05" customHeight="1">
      <c r="B16" s="15">
        <v>2018</v>
      </c>
      <c r="C16" s="16">
        <v>45059</v>
      </c>
      <c r="D16" s="17">
        <v>367502</v>
      </c>
      <c r="E16" s="17">
        <f>D16-C16</f>
        <v>322443</v>
      </c>
      <c r="F16" s="17">
        <v>45425</v>
      </c>
      <c r="G16" s="17">
        <v>240624</v>
      </c>
      <c r="H16" s="17">
        <v>126878</v>
      </c>
      <c r="I16" s="17">
        <f>G16+H16-C16-E16</f>
        <v>0</v>
      </c>
      <c r="J16" s="17">
        <f>C16-G16</f>
        <v>-195565</v>
      </c>
      <c r="K16" s="17"/>
    </row>
    <row r="17" ht="20.05" customHeight="1">
      <c r="B17" s="20"/>
      <c r="C17" s="16">
        <v>31971</v>
      </c>
      <c r="D17" s="17">
        <v>349197</v>
      </c>
      <c r="E17" s="17">
        <f>D17-C17</f>
        <v>317226</v>
      </c>
      <c r="F17" s="17">
        <v>47521</v>
      </c>
      <c r="G17" s="17">
        <v>234248</v>
      </c>
      <c r="H17" s="17">
        <v>114949</v>
      </c>
      <c r="I17" s="17">
        <f>G17+H17-C17-E17</f>
        <v>0</v>
      </c>
      <c r="J17" s="17">
        <f>C17-G17</f>
        <v>-202277</v>
      </c>
      <c r="K17" s="17"/>
    </row>
    <row r="18" ht="20.05" customHeight="1">
      <c r="B18" s="20"/>
      <c r="C18" s="16">
        <v>25913</v>
      </c>
      <c r="D18" s="17">
        <v>365725</v>
      </c>
      <c r="E18" s="17">
        <f>D18-C18</f>
        <v>339812</v>
      </c>
      <c r="F18" s="17">
        <v>49099</v>
      </c>
      <c r="G18" s="17">
        <v>258578</v>
      </c>
      <c r="H18" s="17">
        <v>107147</v>
      </c>
      <c r="I18" s="17">
        <f>G18+H18-C18-E18</f>
        <v>0</v>
      </c>
      <c r="J18" s="17">
        <f>C18-G18</f>
        <v>-232665</v>
      </c>
      <c r="K18" s="17"/>
    </row>
    <row r="19" ht="20.05" customHeight="1">
      <c r="B19" s="20"/>
      <c r="C19" s="16">
        <v>44771</v>
      </c>
      <c r="D19" s="17">
        <v>373719</v>
      </c>
      <c r="E19" s="17">
        <f>D19-C19</f>
        <v>328948</v>
      </c>
      <c r="F19" s="17">
        <v>51929</v>
      </c>
      <c r="G19" s="17">
        <v>255827</v>
      </c>
      <c r="H19" s="17">
        <v>117892</v>
      </c>
      <c r="I19" s="17">
        <f>G19+H19-C19-E19</f>
        <v>0</v>
      </c>
      <c r="J19" s="17">
        <f>C19-G19</f>
        <v>-211056</v>
      </c>
      <c r="K19" s="17"/>
    </row>
    <row r="20" ht="20.05" customHeight="1">
      <c r="B20" s="15">
        <v>2019</v>
      </c>
      <c r="C20" s="16">
        <v>37988</v>
      </c>
      <c r="D20" s="17">
        <v>341998</v>
      </c>
      <c r="E20" s="17">
        <f>D20-C20</f>
        <v>304010</v>
      </c>
      <c r="F20" s="17">
        <v>54290</v>
      </c>
      <c r="G20" s="17">
        <v>236138</v>
      </c>
      <c r="H20" s="17">
        <v>105860</v>
      </c>
      <c r="I20" s="17">
        <f>G20+H20-C20-E20</f>
        <v>0</v>
      </c>
      <c r="J20" s="17">
        <f>C20-G20</f>
        <v>-198150</v>
      </c>
      <c r="K20" s="17"/>
    </row>
    <row r="21" ht="20.05" customHeight="1">
      <c r="B21" s="20"/>
      <c r="C21" s="16">
        <v>50530</v>
      </c>
      <c r="D21" s="17">
        <v>322239</v>
      </c>
      <c r="E21" s="17">
        <f>D21-C21</f>
        <v>271709</v>
      </c>
      <c r="F21" s="17">
        <v>56348</v>
      </c>
      <c r="G21" s="17">
        <v>225783</v>
      </c>
      <c r="H21" s="17">
        <v>96456</v>
      </c>
      <c r="I21" s="17">
        <f>G21+H21-C21-E21</f>
        <v>0</v>
      </c>
      <c r="J21" s="17">
        <f>C21-G21</f>
        <v>-175253</v>
      </c>
      <c r="K21" s="17"/>
    </row>
    <row r="22" ht="20.05" customHeight="1">
      <c r="B22" s="20"/>
      <c r="C22" s="16">
        <v>48844</v>
      </c>
      <c r="D22" s="17">
        <v>338516</v>
      </c>
      <c r="E22" s="17">
        <f>D22-C22</f>
        <v>289672</v>
      </c>
      <c r="F22" s="17">
        <v>58579</v>
      </c>
      <c r="G22" s="17">
        <v>248028</v>
      </c>
      <c r="H22" s="17">
        <v>90488</v>
      </c>
      <c r="I22" s="17">
        <f>G22+H22-C22-E22</f>
        <v>0</v>
      </c>
      <c r="J22" s="17">
        <f>C22-G22</f>
        <v>-199184</v>
      </c>
      <c r="K22" s="17"/>
    </row>
    <row r="23" ht="20.05" customHeight="1">
      <c r="B23" s="20"/>
      <c r="C23" s="16">
        <v>39771</v>
      </c>
      <c r="D23" s="17">
        <v>340618</v>
      </c>
      <c r="E23" s="17">
        <f>D23-C23</f>
        <v>300847</v>
      </c>
      <c r="F23" s="17">
        <v>60959</v>
      </c>
      <c r="G23" s="17">
        <v>251087</v>
      </c>
      <c r="H23" s="17">
        <v>89531</v>
      </c>
      <c r="I23" s="17">
        <f>G23+H23-C23-E23</f>
        <v>0</v>
      </c>
      <c r="J23" s="17">
        <f>C23-G23</f>
        <v>-211316</v>
      </c>
      <c r="K23" s="17"/>
    </row>
    <row r="24" ht="20.05" customHeight="1">
      <c r="B24" s="15">
        <v>2020</v>
      </c>
      <c r="C24" s="16">
        <v>40174</v>
      </c>
      <c r="D24" s="17">
        <v>320400</v>
      </c>
      <c r="E24" s="17">
        <f>D24-C24</f>
        <v>280226</v>
      </c>
      <c r="F24" s="17">
        <f>F23+'Cash Flow - Cash Flow quarterly'!D24</f>
        <v>63745</v>
      </c>
      <c r="G24" s="17">
        <v>241975</v>
      </c>
      <c r="H24" s="17">
        <v>78425</v>
      </c>
      <c r="I24" s="17">
        <f>G24+H24-C24-E24</f>
        <v>0</v>
      </c>
      <c r="J24" s="17">
        <f>C24-G24</f>
        <v>-201801</v>
      </c>
      <c r="K24" s="17"/>
    </row>
    <row r="25" ht="20.05" customHeight="1">
      <c r="B25" s="20"/>
      <c r="C25" s="16">
        <v>33383</v>
      </c>
      <c r="D25" s="17">
        <v>317344</v>
      </c>
      <c r="E25" s="17">
        <f>D25-C25</f>
        <v>283961</v>
      </c>
      <c r="F25" s="17">
        <f>F24+'Cash Flow - Cash Flow quarterly'!D25</f>
        <v>66497</v>
      </c>
      <c r="G25" s="17">
        <v>245062</v>
      </c>
      <c r="H25" s="17">
        <v>72282</v>
      </c>
      <c r="I25" s="17">
        <f>G25+H25-C25-E25</f>
        <v>0</v>
      </c>
      <c r="J25" s="17">
        <f>C25-G25</f>
        <v>-211679</v>
      </c>
      <c r="K25" s="17"/>
    </row>
    <row r="26" ht="20.05" customHeight="1">
      <c r="B26" s="20"/>
      <c r="C26" s="16">
        <v>38016</v>
      </c>
      <c r="D26" s="17">
        <v>323888</v>
      </c>
      <c r="E26" s="17">
        <f>D26-C26</f>
        <v>285872</v>
      </c>
      <c r="F26" s="17">
        <f>F25+'Cash Flow - Cash Flow quarterly'!D26</f>
        <v>69199</v>
      </c>
      <c r="G26" s="17">
        <v>258549</v>
      </c>
      <c r="H26" s="17">
        <v>65339</v>
      </c>
      <c r="I26" s="17">
        <f>G26+H26-C26-E26</f>
        <v>0</v>
      </c>
      <c r="J26" s="17">
        <f>C26-G26</f>
        <v>-220533</v>
      </c>
      <c r="K26" s="17"/>
    </row>
    <row r="27" ht="20.05" customHeight="1">
      <c r="B27" s="20"/>
      <c r="C27" s="16">
        <v>36010</v>
      </c>
      <c r="D27" s="17">
        <v>354054</v>
      </c>
      <c r="E27" s="17">
        <f>D27-C27</f>
        <v>318044</v>
      </c>
      <c r="F27" s="17">
        <f>F26+'Cash Flow - Cash Flow quarterly'!D27</f>
        <v>71865</v>
      </c>
      <c r="G27" s="17">
        <v>287830</v>
      </c>
      <c r="H27" s="17">
        <v>66224</v>
      </c>
      <c r="I27" s="17">
        <f>G27+H27-C27-E27</f>
        <v>0</v>
      </c>
      <c r="J27" s="17">
        <f>C27-G27</f>
        <v>-251820</v>
      </c>
      <c r="K27" s="17">
        <f>J27</f>
        <v>-251820</v>
      </c>
    </row>
    <row r="28" ht="20.05" customHeight="1">
      <c r="B28" s="20"/>
      <c r="C28" s="16"/>
      <c r="D28" s="17"/>
      <c r="E28" s="17"/>
      <c r="F28" s="17"/>
      <c r="G28" s="17"/>
      <c r="H28" s="17"/>
      <c r="I28" s="17"/>
      <c r="J28" s="17"/>
      <c r="K28" s="17">
        <f>'Model - Financial model'!F26-'Model - Financial model'!F30-'Model - Financial model'!F31</f>
        <v>-235193.04083745</v>
      </c>
    </row>
  </sheetData>
  <mergeCells count="1">
    <mergeCell ref="B2:K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B3:E89"/>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11.5859" style="26" customWidth="1"/>
    <col min="2" max="5" width="8.75" style="26" customWidth="1"/>
    <col min="6" max="16384" width="16.3516" style="26" customWidth="1"/>
  </cols>
  <sheetData>
    <row r="1" ht="14.7" customHeight="1"/>
    <row r="2" ht="27.65" customHeight="1">
      <c r="B2" t="s" s="7">
        <v>36</v>
      </c>
      <c r="C2" s="7"/>
      <c r="D2" s="7"/>
      <c r="E2" s="7"/>
    </row>
    <row r="3" ht="20.25" customHeight="1">
      <c r="B3" s="27"/>
      <c r="C3" t="s" s="28">
        <v>38</v>
      </c>
      <c r="D3" t="s" s="28">
        <v>39</v>
      </c>
      <c r="E3" t="s" s="28">
        <v>40</v>
      </c>
    </row>
    <row r="4" ht="20.25" customHeight="1">
      <c r="B4" s="24">
        <v>2014</v>
      </c>
      <c r="C4" s="29">
        <v>5880.3668</v>
      </c>
      <c r="D4" s="12">
        <v>16.796713</v>
      </c>
      <c r="E4" s="13"/>
    </row>
    <row r="5" ht="20.05" customHeight="1">
      <c r="B5" s="20"/>
      <c r="C5" s="22">
        <v>5001.6988</v>
      </c>
      <c r="D5" s="18">
        <v>17.234411</v>
      </c>
      <c r="E5" s="21"/>
    </row>
    <row r="6" ht="20.05" customHeight="1">
      <c r="B6" s="20"/>
      <c r="C6" s="22">
        <v>6435.0608</v>
      </c>
      <c r="D6" s="18">
        <v>18.947445</v>
      </c>
      <c r="E6" s="21"/>
    </row>
    <row r="7" ht="20.05" customHeight="1">
      <c r="B7" s="20"/>
      <c r="C7" s="22">
        <v>5735.6684</v>
      </c>
      <c r="D7" s="18">
        <v>20.325262</v>
      </c>
      <c r="E7" s="21"/>
    </row>
    <row r="8" ht="20.05" customHeight="1">
      <c r="B8" s="20"/>
      <c r="C8" s="22">
        <v>4827.7392</v>
      </c>
      <c r="D8" s="18">
        <v>21.004162</v>
      </c>
      <c r="E8" s="21"/>
    </row>
    <row r="9" ht="20.05" customHeight="1">
      <c r="B9" s="20"/>
      <c r="C9" s="22">
        <v>4140.344</v>
      </c>
      <c r="D9" s="18">
        <v>21.607637</v>
      </c>
      <c r="E9" s="21"/>
    </row>
    <row r="10" ht="20.05" customHeight="1">
      <c r="B10" s="20"/>
      <c r="C10" s="22">
        <v>3748.308</v>
      </c>
      <c r="D10" s="18">
        <v>23.167181</v>
      </c>
      <c r="E10" s="21"/>
    </row>
    <row r="11" ht="20.05" customHeight="1">
      <c r="B11" s="20"/>
      <c r="C11" s="22">
        <v>6105.68</v>
      </c>
      <c r="D11" s="18">
        <v>22.88492</v>
      </c>
      <c r="E11" s="21"/>
    </row>
    <row r="12" ht="20.05" customHeight="1">
      <c r="B12" s="20"/>
      <c r="C12" s="22">
        <v>5441.1208</v>
      </c>
      <c r="D12" s="18">
        <v>24.531713</v>
      </c>
      <c r="E12" s="21"/>
    </row>
    <row r="13" ht="20.05" customHeight="1">
      <c r="B13" s="20"/>
      <c r="C13" s="22">
        <v>3281.6328</v>
      </c>
      <c r="D13" s="18">
        <v>27.014416</v>
      </c>
      <c r="E13" s="21"/>
    </row>
    <row r="14" ht="20.05" customHeight="1">
      <c r="B14" s="20"/>
      <c r="C14" s="22">
        <v>4294.3784</v>
      </c>
      <c r="D14" s="18">
        <v>25.181044</v>
      </c>
      <c r="E14" s="21"/>
    </row>
    <row r="15" ht="20.05" customHeight="1">
      <c r="B15" s="20"/>
      <c r="C15" s="22">
        <v>5221.0536</v>
      </c>
      <c r="D15" s="18">
        <v>26.72777</v>
      </c>
      <c r="E15" s="21"/>
    </row>
    <row r="16" ht="20.05" customHeight="1">
      <c r="B16" s="15">
        <v>2015</v>
      </c>
      <c r="C16" s="22">
        <v>4546.1408</v>
      </c>
      <c r="D16" s="18">
        <v>29.305643</v>
      </c>
      <c r="E16" s="21"/>
    </row>
    <row r="17" ht="20.05" customHeight="1">
      <c r="B17" s="20"/>
      <c r="C17" s="22">
        <v>4554.5684</v>
      </c>
      <c r="D17" s="18">
        <v>28.498304</v>
      </c>
      <c r="E17" s="21"/>
    </row>
    <row r="18" ht="20.05" customHeight="1">
      <c r="B18" s="20"/>
      <c r="C18" s="22">
        <v>3984.542</v>
      </c>
      <c r="D18" s="18">
        <v>28.66321</v>
      </c>
      <c r="E18" s="21"/>
    </row>
    <row r="19" ht="20.05" customHeight="1">
      <c r="B19" s="20"/>
      <c r="C19" s="22">
        <v>3816.6084</v>
      </c>
      <c r="D19" s="18">
        <v>29.838139</v>
      </c>
      <c r="E19" s="21"/>
    </row>
    <row r="20" ht="20.05" customHeight="1">
      <c r="B20" s="20"/>
      <c r="C20" s="22">
        <v>3514.4268</v>
      </c>
      <c r="D20" s="18">
        <v>28.847332</v>
      </c>
      <c r="E20" s="21"/>
    </row>
    <row r="21" ht="20.05" customHeight="1">
      <c r="B21" s="20"/>
      <c r="C21" s="22">
        <v>4233.1224</v>
      </c>
      <c r="D21" s="18">
        <v>27.897482</v>
      </c>
      <c r="E21" s="21"/>
    </row>
    <row r="22" ht="20.05" customHeight="1">
      <c r="B22" s="20"/>
      <c r="C22" s="22">
        <v>6427.2764</v>
      </c>
      <c r="D22" s="18">
        <v>25.93339</v>
      </c>
      <c r="E22" s="21"/>
    </row>
    <row r="23" ht="20.05" customHeight="1">
      <c r="B23" s="20"/>
      <c r="C23" s="22">
        <v>4826.1892</v>
      </c>
      <c r="D23" s="18">
        <v>25.482449</v>
      </c>
      <c r="E23" s="21"/>
    </row>
    <row r="24" ht="20.05" customHeight="1">
      <c r="B24" s="20"/>
      <c r="C24" s="22">
        <v>4450.0484</v>
      </c>
      <c r="D24" s="18">
        <v>27.607912</v>
      </c>
      <c r="E24" s="21"/>
    </row>
    <row r="25" ht="20.05" customHeight="1">
      <c r="B25" s="20"/>
      <c r="C25" s="22">
        <v>3002.5624</v>
      </c>
      <c r="D25" s="18">
        <v>27.330675</v>
      </c>
      <c r="E25" s="21"/>
    </row>
    <row r="26" ht="20.05" customHeight="1">
      <c r="B26" s="20"/>
      <c r="C26" s="22">
        <v>3687.6608</v>
      </c>
      <c r="D26" s="18">
        <v>24.422157</v>
      </c>
      <c r="E26" s="21"/>
    </row>
    <row r="27" ht="20.05" customHeight="1">
      <c r="B27" s="20"/>
      <c r="C27" s="22">
        <v>5087.392</v>
      </c>
      <c r="D27" s="18">
        <v>22.584578</v>
      </c>
      <c r="E27" s="21"/>
    </row>
    <row r="28" ht="20.05" customHeight="1">
      <c r="B28" s="15">
        <v>2016</v>
      </c>
      <c r="C28" s="22">
        <v>3243.4504</v>
      </c>
      <c r="D28" s="18">
        <v>22.433773</v>
      </c>
      <c r="E28" s="21"/>
    </row>
    <row r="29" ht="20.05" customHeight="1">
      <c r="B29" s="20"/>
      <c r="C29" s="22">
        <v>2984.1984</v>
      </c>
      <c r="D29" s="18">
        <v>25.424799</v>
      </c>
      <c r="E29" s="21"/>
    </row>
    <row r="30" ht="20.05" customHeight="1">
      <c r="B30" s="20"/>
      <c r="C30" s="22">
        <v>3489.5348</v>
      </c>
      <c r="D30" s="18">
        <v>21.867334</v>
      </c>
      <c r="E30" s="21"/>
    </row>
    <row r="31" ht="20.05" customHeight="1">
      <c r="B31" s="20"/>
      <c r="C31" s="22">
        <v>3602.686</v>
      </c>
      <c r="D31" s="18">
        <v>23.294987</v>
      </c>
      <c r="E31" s="21"/>
    </row>
    <row r="32" ht="20.05" customHeight="1">
      <c r="B32" s="20"/>
      <c r="C32" s="22">
        <v>3117.9908</v>
      </c>
      <c r="D32" s="18">
        <v>22.43701</v>
      </c>
      <c r="E32" s="21"/>
    </row>
    <row r="33" ht="20.05" customHeight="1">
      <c r="B33" s="20"/>
      <c r="C33" s="22">
        <v>2743.1184</v>
      </c>
      <c r="D33" s="18">
        <v>24.457745</v>
      </c>
      <c r="E33" s="21"/>
    </row>
    <row r="34" ht="20.05" customHeight="1">
      <c r="B34" s="20"/>
      <c r="C34" s="22">
        <v>2520.514</v>
      </c>
      <c r="D34" s="18">
        <v>24.901323</v>
      </c>
      <c r="E34" s="21"/>
    </row>
    <row r="35" ht="20.05" customHeight="1">
      <c r="B35" s="20"/>
      <c r="C35" s="22">
        <v>3872.0624</v>
      </c>
      <c r="D35" s="18">
        <v>26.676199</v>
      </c>
      <c r="E35" s="21"/>
    </row>
    <row r="36" ht="20.05" customHeight="1">
      <c r="B36" s="20"/>
      <c r="C36" s="22">
        <v>2747.6572</v>
      </c>
      <c r="D36" s="18">
        <v>26.791819</v>
      </c>
      <c r="E36" s="21"/>
    </row>
    <row r="37" ht="20.05" customHeight="1">
      <c r="B37" s="20"/>
      <c r="C37" s="22">
        <v>2886.22</v>
      </c>
      <c r="D37" s="18">
        <v>26.079195</v>
      </c>
      <c r="E37" s="21"/>
    </row>
    <row r="38" ht="20.05" customHeight="1">
      <c r="B38" s="20"/>
      <c r="C38" s="22">
        <v>2435.0868</v>
      </c>
      <c r="D38" s="18">
        <v>27.470144</v>
      </c>
      <c r="E38" s="21"/>
    </row>
    <row r="39" ht="20.05" customHeight="1">
      <c r="B39" s="20"/>
      <c r="C39" s="22">
        <v>2252.488</v>
      </c>
      <c r="D39" s="18">
        <v>28.78175</v>
      </c>
      <c r="E39" s="21"/>
    </row>
    <row r="40" ht="20.05" customHeight="1">
      <c r="B40" s="15">
        <v>2017</v>
      </c>
      <c r="C40" s="22">
        <v>2299.8744</v>
      </c>
      <c r="D40" s="18">
        <v>32.491241</v>
      </c>
      <c r="E40" s="21"/>
    </row>
    <row r="41" ht="20.05" customHeight="1">
      <c r="B41" s="20"/>
      <c r="C41" s="22">
        <v>2246.5136</v>
      </c>
      <c r="D41" s="18">
        <v>34.220959</v>
      </c>
      <c r="E41" s="21"/>
    </row>
    <row r="42" ht="20.05" customHeight="1">
      <c r="B42" s="20"/>
      <c r="C42" s="22">
        <v>1493.2164</v>
      </c>
      <c r="D42" s="18">
        <v>34.218575</v>
      </c>
      <c r="E42" s="21"/>
    </row>
    <row r="43" ht="20.05" customHeight="1">
      <c r="B43" s="20"/>
      <c r="C43" s="22">
        <v>2615.9272</v>
      </c>
      <c r="D43" s="18">
        <v>36.388645</v>
      </c>
      <c r="E43" s="21"/>
    </row>
    <row r="44" ht="20.05" customHeight="1">
      <c r="B44" s="20"/>
      <c r="C44" s="22">
        <v>2736.7124</v>
      </c>
      <c r="D44" s="18">
        <v>34.448315</v>
      </c>
      <c r="E44" s="21"/>
    </row>
    <row r="45" ht="20.05" customHeight="1">
      <c r="B45" s="20"/>
      <c r="C45" s="22">
        <v>1688.0476</v>
      </c>
      <c r="D45" s="18">
        <v>35.574905</v>
      </c>
      <c r="E45" s="21"/>
    </row>
    <row r="46" ht="20.05" customHeight="1">
      <c r="B46" s="20"/>
      <c r="C46" s="22">
        <v>2644.276</v>
      </c>
      <c r="D46" s="18">
        <v>39.227352</v>
      </c>
      <c r="E46" s="21"/>
    </row>
    <row r="47" ht="20.05" customHeight="1">
      <c r="B47" s="20"/>
      <c r="C47" s="22">
        <v>2721.4964</v>
      </c>
      <c r="D47" s="18">
        <v>37.008904</v>
      </c>
      <c r="E47" s="21"/>
    </row>
    <row r="48" ht="20.05" customHeight="1">
      <c r="B48" s="20"/>
      <c r="C48" s="22">
        <v>2017.1652</v>
      </c>
      <c r="D48" s="18">
        <v>40.591652</v>
      </c>
      <c r="E48" s="21"/>
    </row>
    <row r="49" ht="20.05" customHeight="1">
      <c r="B49" s="20"/>
      <c r="C49" s="22">
        <v>2402.6536</v>
      </c>
      <c r="D49" s="18">
        <v>41.266426</v>
      </c>
      <c r="E49" s="21"/>
    </row>
    <row r="50" ht="20.05" customHeight="1">
      <c r="B50" s="20"/>
      <c r="C50" s="22">
        <v>2124.7352</v>
      </c>
      <c r="D50" s="18">
        <v>40.783367</v>
      </c>
      <c r="E50" s="21"/>
    </row>
    <row r="51" ht="20.05" customHeight="1">
      <c r="B51" s="20"/>
      <c r="C51" s="22">
        <v>2638.7176</v>
      </c>
      <c r="D51" s="18">
        <v>40.349579</v>
      </c>
      <c r="E51" s="21"/>
    </row>
    <row r="52" ht="20.05" customHeight="1">
      <c r="B52" s="15">
        <v>2018</v>
      </c>
      <c r="C52" s="22">
        <v>3711.5772</v>
      </c>
      <c r="D52" s="18">
        <v>42.925804</v>
      </c>
      <c r="E52" s="21"/>
    </row>
    <row r="53" ht="20.05" customHeight="1">
      <c r="B53" s="20"/>
      <c r="C53" s="22">
        <v>2854.9108</v>
      </c>
      <c r="D53" s="18">
        <v>40.598782</v>
      </c>
      <c r="E53" s="21"/>
    </row>
    <row r="54" ht="20.05" customHeight="1">
      <c r="B54" s="20"/>
      <c r="C54" s="22">
        <v>2664.6172</v>
      </c>
      <c r="D54" s="18">
        <v>39.988998</v>
      </c>
      <c r="E54" s="21"/>
    </row>
    <row r="55" ht="20.05" customHeight="1">
      <c r="B55" s="20"/>
      <c r="C55" s="22">
        <v>2483.9052</v>
      </c>
      <c r="D55" s="18">
        <v>45.218109</v>
      </c>
      <c r="E55" s="21"/>
    </row>
    <row r="56" ht="20.05" customHeight="1">
      <c r="B56" s="20"/>
      <c r="C56" s="22">
        <v>2110.498</v>
      </c>
      <c r="D56" s="18">
        <v>44.964947</v>
      </c>
      <c r="E56" s="21"/>
    </row>
    <row r="57" ht="20.05" customHeight="1">
      <c r="B57" s="20"/>
      <c r="C57" s="22">
        <v>1574.7656</v>
      </c>
      <c r="D57" s="18">
        <v>46.223221</v>
      </c>
      <c r="E57" s="21"/>
    </row>
    <row r="58" ht="20.05" customHeight="1">
      <c r="B58" s="20"/>
      <c r="C58" s="22">
        <v>2801.2756</v>
      </c>
      <c r="D58" s="18">
        <v>55.293457</v>
      </c>
      <c r="E58" s="21"/>
    </row>
    <row r="59" ht="20.05" customHeight="1">
      <c r="B59" s="20"/>
      <c r="C59" s="22">
        <v>2715.888</v>
      </c>
      <c r="D59" s="18">
        <v>55.026672</v>
      </c>
      <c r="E59" s="21"/>
    </row>
    <row r="60" ht="20.05" customHeight="1">
      <c r="B60" s="20"/>
      <c r="C60" s="22">
        <v>3158.994</v>
      </c>
      <c r="D60" s="18">
        <v>53.349594</v>
      </c>
      <c r="E60" s="21"/>
    </row>
    <row r="61" ht="20.05" customHeight="1">
      <c r="B61" s="20"/>
      <c r="C61" s="22">
        <v>3845.3056</v>
      </c>
      <c r="D61" s="18">
        <v>43.530891</v>
      </c>
      <c r="E61" s="21"/>
    </row>
    <row r="62" ht="20.05" customHeight="1">
      <c r="B62" s="20"/>
      <c r="C62" s="22">
        <v>3595.69</v>
      </c>
      <c r="D62" s="18">
        <v>38.585068</v>
      </c>
      <c r="E62" s="21"/>
    </row>
    <row r="63" ht="20.05" customHeight="1">
      <c r="B63" s="20"/>
      <c r="C63" s="22">
        <v>3312.3496</v>
      </c>
      <c r="D63" s="18">
        <v>40.713184</v>
      </c>
      <c r="E63" s="21"/>
    </row>
    <row r="64" ht="20.05" customHeight="1">
      <c r="B64" s="15">
        <v>2019</v>
      </c>
      <c r="C64" s="22">
        <v>1890.1624</v>
      </c>
      <c r="D64" s="18">
        <v>42.354534</v>
      </c>
      <c r="E64" s="21"/>
    </row>
    <row r="65" ht="20.05" customHeight="1">
      <c r="B65" s="20"/>
      <c r="C65" s="22">
        <v>2603.9256</v>
      </c>
      <c r="D65" s="18">
        <v>46.663288</v>
      </c>
      <c r="E65" s="21"/>
    </row>
    <row r="66" ht="20.05" customHeight="1">
      <c r="B66" s="20"/>
      <c r="C66" s="22">
        <v>2024.4708</v>
      </c>
      <c r="D66" s="18">
        <v>49.296772</v>
      </c>
      <c r="E66" s="21"/>
    </row>
    <row r="67" ht="20.05" customHeight="1">
      <c r="B67" s="20"/>
      <c r="C67" s="22">
        <v>2957.8264</v>
      </c>
      <c r="D67" s="18">
        <v>43.007851</v>
      </c>
      <c r="E67" s="21"/>
    </row>
    <row r="68" ht="20.05" customHeight="1">
      <c r="B68" s="20"/>
      <c r="C68" s="22">
        <v>2060.8748</v>
      </c>
      <c r="D68" s="18">
        <v>48.808441</v>
      </c>
      <c r="E68" s="21"/>
    </row>
    <row r="69" ht="20.05" customHeight="1">
      <c r="B69" s="20"/>
      <c r="C69" s="22">
        <v>1895.4068</v>
      </c>
      <c r="D69" s="18">
        <v>52.53714</v>
      </c>
      <c r="E69" s="21"/>
    </row>
    <row r="70" ht="20.05" customHeight="1">
      <c r="B70" s="20"/>
      <c r="C70" s="22">
        <v>2724.3264</v>
      </c>
      <c r="D70" s="18">
        <v>51.47673</v>
      </c>
      <c r="E70" s="21"/>
    </row>
    <row r="71" ht="20.05" customHeight="1">
      <c r="B71" s="20"/>
      <c r="C71" s="22">
        <v>2170.2684</v>
      </c>
      <c r="D71" s="18">
        <v>55.442406</v>
      </c>
      <c r="E71" s="21"/>
    </row>
    <row r="72" ht="20.05" customHeight="1">
      <c r="B72" s="20"/>
      <c r="C72" s="22">
        <v>2433.2108</v>
      </c>
      <c r="D72" s="18">
        <v>61.579021</v>
      </c>
      <c r="E72" s="21"/>
    </row>
    <row r="73" ht="20.05" customHeight="1">
      <c r="B73" s="20"/>
      <c r="C73" s="22">
        <v>1793.326</v>
      </c>
      <c r="D73" s="18">
        <v>66.156113</v>
      </c>
      <c r="E73" s="21"/>
    </row>
    <row r="74" ht="20.05" customHeight="1">
      <c r="B74" s="20"/>
      <c r="C74" s="22">
        <v>2388.7948</v>
      </c>
      <c r="D74" s="18">
        <v>72.90949999999999</v>
      </c>
      <c r="E74" s="21"/>
    </row>
    <row r="75" ht="20.05" customHeight="1">
      <c r="B75" s="20"/>
      <c r="C75" s="22">
        <v>2934.3704</v>
      </c>
      <c r="D75" s="18">
        <v>76.847343</v>
      </c>
      <c r="E75" s="21"/>
    </row>
    <row r="76" ht="20.05" customHeight="1">
      <c r="B76" s="15">
        <v>2020</v>
      </c>
      <c r="C76" s="22">
        <v>3019.8512</v>
      </c>
      <c r="D76" s="18">
        <v>67.871758</v>
      </c>
      <c r="E76" s="21"/>
    </row>
    <row r="77" ht="20.05" customHeight="1">
      <c r="B77" s="20"/>
      <c r="C77" s="22">
        <v>6280.0724</v>
      </c>
      <c r="D77" s="18">
        <v>63.28677</v>
      </c>
      <c r="E77" s="21"/>
    </row>
    <row r="78" ht="20.05" customHeight="1">
      <c r="B78" s="20"/>
      <c r="C78" s="22">
        <v>1072.8367</v>
      </c>
      <c r="D78" s="18">
        <v>73.119873</v>
      </c>
      <c r="E78" s="21"/>
    </row>
    <row r="79" ht="20.05" customHeight="1">
      <c r="B79" s="20"/>
      <c r="C79" s="22">
        <v>2806.4052</v>
      </c>
      <c r="D79" s="18">
        <v>79.127747</v>
      </c>
      <c r="E79" s="21"/>
    </row>
    <row r="80" ht="20.05" customHeight="1">
      <c r="B80" s="20"/>
      <c r="C80" s="22">
        <v>3243.3756</v>
      </c>
      <c r="D80" s="18">
        <v>91.035858</v>
      </c>
      <c r="E80" s="21"/>
    </row>
    <row r="81" ht="20.05" customHeight="1">
      <c r="B81" s="20"/>
      <c r="C81" s="22">
        <v>3020.496</v>
      </c>
      <c r="D81" s="18">
        <v>106.068756</v>
      </c>
      <c r="E81" s="21"/>
    </row>
    <row r="82" ht="20.05" customHeight="1">
      <c r="B82" s="20"/>
      <c r="C82" s="22">
        <v>4070.6231</v>
      </c>
      <c r="D82" s="18">
        <v>128.807755</v>
      </c>
      <c r="E82" s="21"/>
    </row>
    <row r="83" ht="20.05" customHeight="1">
      <c r="B83" s="20"/>
      <c r="C83" s="22">
        <v>3885.7671</v>
      </c>
      <c r="D83" s="18">
        <v>115.809998</v>
      </c>
      <c r="E83" s="21"/>
    </row>
    <row r="84" ht="20.05" customHeight="1">
      <c r="B84" s="20"/>
      <c r="C84" s="22">
        <v>2702.4659</v>
      </c>
      <c r="D84" s="18">
        <v>115.32</v>
      </c>
      <c r="E84" s="21"/>
    </row>
    <row r="85" ht="20.05" customHeight="1">
      <c r="B85" s="20"/>
      <c r="C85" s="22">
        <v>2634.1844</v>
      </c>
      <c r="D85" s="18">
        <v>108.672516</v>
      </c>
      <c r="E85" s="21"/>
    </row>
    <row r="86" ht="20.05" customHeight="1">
      <c r="B86" s="20"/>
      <c r="C86" s="22">
        <v>2123.0773</v>
      </c>
      <c r="D86" s="18">
        <v>119.050003</v>
      </c>
      <c r="E86" s="21"/>
    </row>
    <row r="87" ht="20.05" customHeight="1">
      <c r="B87" s="20"/>
      <c r="C87" s="22">
        <v>2105.6596</v>
      </c>
      <c r="D87" s="18">
        <v>132.690002</v>
      </c>
      <c r="E87" s="21"/>
    </row>
    <row r="88" ht="20.05" customHeight="1">
      <c r="B88" s="20"/>
      <c r="C88" s="22">
        <v>2235.6148</v>
      </c>
      <c r="D88" s="18">
        <v>142.059998</v>
      </c>
      <c r="E88" s="30">
        <f>D88</f>
        <v>142.059998</v>
      </c>
    </row>
    <row r="89" ht="20.05" customHeight="1">
      <c r="B89" s="20"/>
      <c r="C89" s="22"/>
      <c r="D89" s="18"/>
      <c r="E89" s="30">
        <f>'Valuation  - Valuation'!E10</f>
        <v>207.439141472856</v>
      </c>
    </row>
  </sheetData>
  <mergeCells count="1">
    <mergeCell ref="B2:E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B3:F33"/>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6.53906" style="31" customWidth="1"/>
    <col min="2" max="2" width="18.6172" style="31" customWidth="1"/>
    <col min="3" max="6" width="9.3125" style="31" customWidth="1"/>
    <col min="7" max="16384" width="16.3516" style="31" customWidth="1"/>
  </cols>
  <sheetData>
    <row r="1" ht="25" customHeight="1"/>
    <row r="2" ht="27.65" customHeight="1">
      <c r="B2" t="s" s="7">
        <v>42</v>
      </c>
      <c r="C2" s="7"/>
      <c r="D2" s="7"/>
      <c r="E2" s="7"/>
      <c r="F2" s="7"/>
    </row>
    <row r="3" ht="20.25" customHeight="1">
      <c r="B3" t="s" s="28">
        <v>7</v>
      </c>
      <c r="C3" t="s" s="8">
        <v>44</v>
      </c>
      <c r="D3" t="s" s="8">
        <v>45</v>
      </c>
      <c r="E3" t="s" s="8">
        <v>46</v>
      </c>
      <c r="F3" t="s" s="28">
        <v>47</v>
      </c>
    </row>
    <row r="4" ht="20.25" customHeight="1">
      <c r="B4" t="s" s="32">
        <v>48</v>
      </c>
      <c r="C4" s="33"/>
      <c r="D4" s="13"/>
      <c r="E4" s="13"/>
      <c r="F4" s="13"/>
    </row>
    <row r="5" ht="20.05" customHeight="1">
      <c r="B5" t="s" s="34">
        <v>49</v>
      </c>
      <c r="C5" s="35">
        <v>-0.27</v>
      </c>
      <c r="D5" s="36">
        <v>-0.07000000000000001</v>
      </c>
      <c r="E5" s="36">
        <v>0.2</v>
      </c>
      <c r="F5" s="36">
        <v>0.3</v>
      </c>
    </row>
    <row r="6" ht="20.05" customHeight="1">
      <c r="B6" t="s" s="34">
        <v>4</v>
      </c>
      <c r="C6" s="16">
        <f>'Sales - Profit quarterly'!E28*(1+C5)</f>
        <v>81350.47</v>
      </c>
      <c r="D6" s="17">
        <f>C6*(1+D5)</f>
        <v>75655.9371</v>
      </c>
      <c r="E6" s="17">
        <f>D6*(1+E5)</f>
        <v>90787.12452</v>
      </c>
      <c r="F6" s="17">
        <f>E6*(1+F5)</f>
        <v>118023.261876</v>
      </c>
    </row>
    <row r="7" ht="20.05" customHeight="1">
      <c r="B7" t="s" s="34">
        <v>50</v>
      </c>
      <c r="C7" s="35">
        <f>AVERAGE('Sales - Profit quarterly'!H21)</f>
        <v>-0.722227010255968</v>
      </c>
      <c r="D7" s="36">
        <f>'Sales - Profit quarterly'!H26</f>
        <v>-0.720180949987434</v>
      </c>
      <c r="E7" s="36">
        <f>'Sales - Profit quarterly'!H23</f>
        <v>-0.713241723922548</v>
      </c>
      <c r="F7" s="36">
        <f>'Sales - Profit quarterly'!H28</f>
        <v>-0.700392142786637</v>
      </c>
    </row>
    <row r="8" ht="20.05" customHeight="1">
      <c r="B8" t="s" s="34">
        <v>51</v>
      </c>
      <c r="C8" s="16">
        <f>C7*C6</f>
        <v>-58753.5067310178</v>
      </c>
      <c r="D8" s="17">
        <f>D7*D6</f>
        <v>-54485.9646528676</v>
      </c>
      <c r="E8" s="17">
        <f>E7*E6</f>
        <v>-64753.1652026158</v>
      </c>
      <c r="F8" s="17">
        <f>F7*F6</f>
        <v>-82662.565284</v>
      </c>
    </row>
    <row r="9" ht="20.05" customHeight="1">
      <c r="B9" t="s" s="34">
        <v>52</v>
      </c>
      <c r="C9" s="16">
        <f>C6+C8</f>
        <v>22596.9632689822</v>
      </c>
      <c r="D9" s="17">
        <f>D6+D8</f>
        <v>21169.9724471324</v>
      </c>
      <c r="E9" s="17">
        <f>E6+E8</f>
        <v>26033.9593173842</v>
      </c>
      <c r="F9" s="17">
        <f>F6+F8</f>
        <v>35360.696592</v>
      </c>
    </row>
    <row r="10" ht="20.05" customHeight="1">
      <c r="B10" t="s" s="34">
        <v>53</v>
      </c>
      <c r="C10" s="16">
        <f>AVERAGE('Cash Flow - Cash Flow quarterly'!G26:G27)</f>
        <v>-2642</v>
      </c>
      <c r="D10" s="17">
        <f>C10</f>
        <v>-2642</v>
      </c>
      <c r="E10" s="17">
        <f>D10</f>
        <v>-2642</v>
      </c>
      <c r="F10" s="17">
        <f>E10</f>
        <v>-2642</v>
      </c>
    </row>
    <row r="11" ht="20.05" customHeight="1">
      <c r="B11" t="s" s="34">
        <v>54</v>
      </c>
      <c r="C11" s="16">
        <f>C12+C13+C15</f>
        <v>-19954.9632689822</v>
      </c>
      <c r="D11" s="17">
        <f>D12+D13+D15</f>
        <v>-18527.9724471324</v>
      </c>
      <c r="E11" s="17">
        <f>E12+E13+E15</f>
        <v>-23391.9593173842</v>
      </c>
      <c r="F11" s="17">
        <f>F12+F13+F15</f>
        <v>-32718.696592</v>
      </c>
    </row>
    <row r="12" ht="20.05" customHeight="1">
      <c r="B12" t="s" s="34">
        <v>32</v>
      </c>
      <c r="C12" s="16">
        <f>-('Balance sheet - Assets'!G27)/20</f>
        <v>-14391.5</v>
      </c>
      <c r="D12" s="17">
        <f>-C30/20</f>
        <v>-13671.925</v>
      </c>
      <c r="E12" s="17">
        <f>-D30/20</f>
        <v>-12988.32875</v>
      </c>
      <c r="F12" s="17">
        <f>-E30/20</f>
        <v>-12338.9123125</v>
      </c>
    </row>
    <row r="13" ht="20.05" customHeight="1">
      <c r="B13" t="s" s="34">
        <v>55</v>
      </c>
      <c r="C13" s="16">
        <f>-C24*0.9</f>
        <v>-16167.566942084</v>
      </c>
      <c r="D13" s="17">
        <f>-D24*0.9</f>
        <v>-14883.2752024192</v>
      </c>
      <c r="E13" s="17">
        <f>-E24*0.9</f>
        <v>-19260.8633856458</v>
      </c>
      <c r="F13" s="17">
        <f>-F24*0.9</f>
        <v>-27654.9269328</v>
      </c>
    </row>
    <row r="14" ht="32.05" customHeight="1">
      <c r="B14" t="s" s="34">
        <v>56</v>
      </c>
      <c r="C14" s="16">
        <f>C9+C10+C12+C13</f>
        <v>-10604.1036731018</v>
      </c>
      <c r="D14" s="17">
        <f>D9+D10+D12+D13</f>
        <v>-10027.2277552868</v>
      </c>
      <c r="E14" s="17">
        <f>E9+E10+E12+E13</f>
        <v>-8857.2328182616</v>
      </c>
      <c r="F14" s="17">
        <f>F9+F10+F12+F13</f>
        <v>-7275.1426533</v>
      </c>
    </row>
    <row r="15" ht="20.05" customHeight="1">
      <c r="B15" t="s" s="34">
        <v>57</v>
      </c>
      <c r="C15" s="16">
        <f>-MIN(0,C16,C16,C14)</f>
        <v>10604.1036731018</v>
      </c>
      <c r="D15" s="17">
        <f>-MIN(C31,D14)</f>
        <v>10027.2277552868</v>
      </c>
      <c r="E15" s="17">
        <f>-MIN(D31,E14)</f>
        <v>8857.2328182616</v>
      </c>
      <c r="F15" s="17">
        <f>-MIN(E31,F14)</f>
        <v>7275.1426533</v>
      </c>
    </row>
    <row r="16" ht="20.05" customHeight="1">
      <c r="B16" t="s" s="34">
        <v>58</v>
      </c>
      <c r="C16" s="16">
        <f>'Balance sheet - Assets'!C27</f>
        <v>36010</v>
      </c>
      <c r="D16" s="17">
        <f>C18</f>
        <v>36010</v>
      </c>
      <c r="E16" s="17">
        <f>D18</f>
        <v>36010</v>
      </c>
      <c r="F16" s="17">
        <f>E18</f>
        <v>36010</v>
      </c>
    </row>
    <row r="17" ht="20.05" customHeight="1">
      <c r="B17" t="s" s="34">
        <v>59</v>
      </c>
      <c r="C17" s="16">
        <f>C9+C10+C11</f>
        <v>0</v>
      </c>
      <c r="D17" s="17">
        <f>D9+D10+D11</f>
        <v>0</v>
      </c>
      <c r="E17" s="17">
        <f>E9+E10+E11</f>
        <v>0</v>
      </c>
      <c r="F17" s="17">
        <f>F9+F10+F11</f>
        <v>0</v>
      </c>
    </row>
    <row r="18" ht="20.05" customHeight="1">
      <c r="B18" t="s" s="34">
        <v>60</v>
      </c>
      <c r="C18" s="16">
        <f>C16+C17</f>
        <v>36010</v>
      </c>
      <c r="D18" s="17">
        <f>D16+D17</f>
        <v>36010</v>
      </c>
      <c r="E18" s="17">
        <f>E16+E17</f>
        <v>36010</v>
      </c>
      <c r="F18" s="17">
        <f>F16+F17</f>
        <v>36010</v>
      </c>
    </row>
    <row r="19" ht="20.05" customHeight="1">
      <c r="B19" t="s" s="37">
        <v>61</v>
      </c>
      <c r="C19" s="38"/>
      <c r="D19" s="21"/>
      <c r="E19" s="18">
        <f>SUM('Sales - Profit quarterly'!E25:E28)</f>
        <v>294135</v>
      </c>
      <c r="F19" s="17">
        <f>SUM(C20:F20)</f>
        <v>365816.793496</v>
      </c>
    </row>
    <row r="20" ht="20.05" customHeight="1">
      <c r="B20" t="s" s="34">
        <v>4</v>
      </c>
      <c r="C20" s="16">
        <f>C6</f>
        <v>81350.47</v>
      </c>
      <c r="D20" s="17">
        <f>D6</f>
        <v>75655.9371</v>
      </c>
      <c r="E20" s="17">
        <f>E6</f>
        <v>90787.12452</v>
      </c>
      <c r="F20" s="17">
        <f>F6</f>
        <v>118023.261876</v>
      </c>
    </row>
    <row r="21" ht="20.05" customHeight="1">
      <c r="B21" t="s" s="34">
        <v>31</v>
      </c>
      <c r="C21" s="16">
        <f>-AVERAGE('Cash Flow - Cash Flow quarterly'!D27)</f>
        <v>-2666</v>
      </c>
      <c r="D21" s="17">
        <f>C21</f>
        <v>-2666</v>
      </c>
      <c r="E21" s="17">
        <f>D21</f>
        <v>-2666</v>
      </c>
      <c r="F21" s="17">
        <f>E21</f>
        <v>-2666</v>
      </c>
    </row>
    <row r="22" ht="20.05" customHeight="1">
      <c r="B22" t="s" s="34">
        <v>18</v>
      </c>
      <c r="C22" s="16">
        <f>-'Cash Flow - Cash Flow quarterly'!E27</f>
        <v>-1967</v>
      </c>
      <c r="D22" s="17">
        <f>C22</f>
        <v>-1967</v>
      </c>
      <c r="E22" s="17">
        <f>D22</f>
        <v>-1967</v>
      </c>
      <c r="F22" s="17">
        <f>E22</f>
        <v>-1967</v>
      </c>
    </row>
    <row r="23" ht="20.05" customHeight="1">
      <c r="B23" t="s" s="34">
        <v>62</v>
      </c>
      <c r="C23" s="16">
        <f>C8</f>
        <v>-58753.5067310178</v>
      </c>
      <c r="D23" s="17">
        <f>D8</f>
        <v>-54485.9646528676</v>
      </c>
      <c r="E23" s="17">
        <f>E8</f>
        <v>-64753.1652026158</v>
      </c>
      <c r="F23" s="17">
        <f>F8</f>
        <v>-82662.565284</v>
      </c>
    </row>
    <row r="24" ht="20.05" customHeight="1">
      <c r="B24" t="s" s="34">
        <v>63</v>
      </c>
      <c r="C24" s="16">
        <f>SUM(C20:C23)</f>
        <v>17963.9632689822</v>
      </c>
      <c r="D24" s="17">
        <f>SUM(D20:D23)</f>
        <v>16536.9724471324</v>
      </c>
      <c r="E24" s="17">
        <f>SUM(E20:E23)</f>
        <v>21400.9593173842</v>
      </c>
      <c r="F24" s="17">
        <f>SUM(F20:F23)</f>
        <v>30727.696592</v>
      </c>
    </row>
    <row r="25" ht="20.05" customHeight="1">
      <c r="B25" t="s" s="39">
        <v>26</v>
      </c>
      <c r="C25" s="38"/>
      <c r="D25" s="21"/>
      <c r="E25" s="17">
        <f>SUM('Cash Flow - Cash Flow quarterly'!C24:C27)</f>
        <v>63930</v>
      </c>
      <c r="F25" s="17">
        <f>SUM(C24:F24)</f>
        <v>86629.5916254988</v>
      </c>
    </row>
    <row r="26" ht="20.05" customHeight="1">
      <c r="B26" t="s" s="34">
        <v>29</v>
      </c>
      <c r="C26" s="16">
        <f>C18</f>
        <v>36010</v>
      </c>
      <c r="D26" s="17">
        <f>D18</f>
        <v>36010</v>
      </c>
      <c r="E26" s="17">
        <f>E18</f>
        <v>36010</v>
      </c>
      <c r="F26" s="17">
        <f>F18</f>
        <v>36010</v>
      </c>
    </row>
    <row r="27" ht="20.05" customHeight="1">
      <c r="B27" t="s" s="34">
        <v>30</v>
      </c>
      <c r="C27" s="16">
        <f>'Balance sheet - Assets'!F27+'Balance sheet - Assets'!E27-C10</f>
        <v>392551</v>
      </c>
      <c r="D27" s="17">
        <f>C27-D10</f>
        <v>395193</v>
      </c>
      <c r="E27" s="17">
        <f>D27-E10</f>
        <v>397835</v>
      </c>
      <c r="F27" s="17">
        <f>E27-F10</f>
        <v>400477</v>
      </c>
    </row>
    <row r="28" ht="20.05" customHeight="1">
      <c r="B28" t="s" s="34">
        <v>31</v>
      </c>
      <c r="C28" s="16">
        <f>'Balance sheet - Assets'!F27-C21-C22</f>
        <v>76498</v>
      </c>
      <c r="D28" s="17">
        <f>C28-D21-D22</f>
        <v>81131</v>
      </c>
      <c r="E28" s="17">
        <f>D28-E21-E22</f>
        <v>85764</v>
      </c>
      <c r="F28" s="17">
        <f>E28-F21-F22</f>
        <v>90397</v>
      </c>
    </row>
    <row r="29" ht="20.05" customHeight="1">
      <c r="B29" t="s" s="34">
        <v>64</v>
      </c>
      <c r="C29" s="16">
        <f>C27-C28</f>
        <v>316053</v>
      </c>
      <c r="D29" s="17">
        <f>D27-D28</f>
        <v>314062</v>
      </c>
      <c r="E29" s="17">
        <f>E27-E28</f>
        <v>312071</v>
      </c>
      <c r="F29" s="17">
        <f>F27-F28</f>
        <v>310080</v>
      </c>
    </row>
    <row r="30" ht="20.05" customHeight="1">
      <c r="B30" t="s" s="34">
        <v>32</v>
      </c>
      <c r="C30" s="16">
        <f>'Balance sheet - Assets'!G27+C12</f>
        <v>273438.5</v>
      </c>
      <c r="D30" s="17">
        <f>C30+D12</f>
        <v>259766.575</v>
      </c>
      <c r="E30" s="17">
        <f>D30+E12</f>
        <v>246778.24625</v>
      </c>
      <c r="F30" s="17">
        <f>E30+F12</f>
        <v>234439.3339375</v>
      </c>
    </row>
    <row r="31" ht="20.05" customHeight="1">
      <c r="B31" t="s" s="34">
        <v>57</v>
      </c>
      <c r="C31" s="16">
        <f>C15</f>
        <v>10604.1036731018</v>
      </c>
      <c r="D31" s="17">
        <f>C31+D15</f>
        <v>20631.3314283886</v>
      </c>
      <c r="E31" s="17">
        <f>D31+E15</f>
        <v>29488.5642466502</v>
      </c>
      <c r="F31" s="17">
        <f>E31+F15</f>
        <v>36763.7068999502</v>
      </c>
    </row>
    <row r="32" ht="20.05" customHeight="1">
      <c r="B32" t="s" s="34">
        <v>33</v>
      </c>
      <c r="C32" s="16">
        <f>'Balance sheet - Assets'!H27+C24+C13</f>
        <v>68020.3963268982</v>
      </c>
      <c r="D32" s="17">
        <f>C32+D24+D13</f>
        <v>69674.0935716114</v>
      </c>
      <c r="E32" s="17">
        <f>D32+E24+E13</f>
        <v>71814.1895033498</v>
      </c>
      <c r="F32" s="17">
        <f>E32+F24+F13</f>
        <v>74886.9591625498</v>
      </c>
    </row>
    <row r="33" ht="20.05" customHeight="1">
      <c r="B33" t="s" s="34">
        <v>34</v>
      </c>
      <c r="C33" s="40">
        <f>C30+C31+C32-C26-C29</f>
        <v>0</v>
      </c>
      <c r="D33" s="30">
        <f>D30+D31+D32-D26-D29</f>
        <v>0</v>
      </c>
      <c r="E33" s="30">
        <f>E30+E31+E32-E26-E29</f>
        <v>0</v>
      </c>
      <c r="F33" s="30">
        <f>F30+F31+F32-F26-F29</f>
        <v>0</v>
      </c>
    </row>
  </sheetData>
  <mergeCells count="1">
    <mergeCell ref="B2:F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dimension ref="B3:E19"/>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4.50781" style="41" customWidth="1"/>
    <col min="2" max="2" width="13.7656" style="41" customWidth="1"/>
    <col min="3" max="5" width="10.5156" style="41" customWidth="1"/>
    <col min="6" max="16384" width="16.3516" style="41" customWidth="1"/>
  </cols>
  <sheetData>
    <row r="1" ht="18.15" customHeight="1"/>
    <row r="2" ht="27.65" customHeight="1">
      <c r="B2" t="s" s="7">
        <v>66</v>
      </c>
      <c r="C2" s="7"/>
      <c r="D2" s="7"/>
      <c r="E2" s="7"/>
    </row>
    <row r="3" ht="20.25" customHeight="1">
      <c r="B3" s="27"/>
      <c r="C3" s="27"/>
      <c r="D3" s="27"/>
      <c r="E3" s="27"/>
    </row>
    <row r="4" ht="20.25" customHeight="1">
      <c r="B4" t="s" s="42">
        <v>24</v>
      </c>
      <c r="C4" s="10">
        <v>63831.5998926673</v>
      </c>
      <c r="D4" s="11">
        <v>69195</v>
      </c>
      <c r="E4" s="11">
        <f>SUM('Model - Financial model'!C9:F10)</f>
        <v>94593.5916254988</v>
      </c>
    </row>
    <row r="5" ht="20.05" customHeight="1">
      <c r="B5" t="s" s="34">
        <v>65</v>
      </c>
      <c r="C5" s="43">
        <v>0.016</v>
      </c>
      <c r="D5" s="44">
        <v>0.016</v>
      </c>
      <c r="E5" s="44">
        <v>0.016</v>
      </c>
    </row>
    <row r="6" ht="20.05" customHeight="1">
      <c r="B6" t="s" s="34">
        <v>68</v>
      </c>
      <c r="C6" s="22">
        <f>C4/C5</f>
        <v>3989474.99329171</v>
      </c>
      <c r="D6" s="18">
        <f>D4/D5</f>
        <v>4324687.5</v>
      </c>
      <c r="E6" s="18">
        <f>E4/E5</f>
        <v>5912099.47659368</v>
      </c>
    </row>
    <row r="7" ht="20.05" customHeight="1">
      <c r="B7" t="s" s="34">
        <v>69</v>
      </c>
      <c r="C7" s="40">
        <v>0.6</v>
      </c>
      <c r="D7" s="30">
        <v>0.6</v>
      </c>
      <c r="E7" s="30">
        <v>0.6</v>
      </c>
    </row>
    <row r="8" ht="20.05" customHeight="1">
      <c r="B8" t="s" s="34">
        <v>70</v>
      </c>
      <c r="C8" s="22">
        <f>C6*C7</f>
        <v>2393684.99597503</v>
      </c>
      <c r="D8" s="18">
        <f>D6*D7</f>
        <v>2594812.5</v>
      </c>
      <c r="E8" s="18">
        <f>E6*E7</f>
        <v>3547259.68595621</v>
      </c>
    </row>
    <row r="9" ht="20.05" customHeight="1">
      <c r="B9" t="s" s="34">
        <v>71</v>
      </c>
      <c r="C9" s="22">
        <f t="shared" si="7" ref="C9:E9">1972000/115.32</f>
        <v>17100.2428026361</v>
      </c>
      <c r="D9" s="18">
        <f t="shared" si="7"/>
        <v>17100.2428026361</v>
      </c>
      <c r="E9" s="18">
        <f t="shared" si="7"/>
        <v>17100.2428026361</v>
      </c>
    </row>
    <row r="10" ht="20.05" customHeight="1">
      <c r="B10" t="s" s="34">
        <v>72</v>
      </c>
      <c r="C10" s="22">
        <f>C8/C9</f>
        <v>139.979591143936</v>
      </c>
      <c r="D10" s="18">
        <f>D8/D9</f>
        <v>151.741266480731</v>
      </c>
      <c r="E10" s="18">
        <f>E8/E9</f>
        <v>207.439141472856</v>
      </c>
    </row>
    <row r="11" ht="20.05" customHeight="1">
      <c r="B11" t="s" s="34">
        <v>73</v>
      </c>
      <c r="C11" s="38"/>
      <c r="D11" s="18">
        <f>D9*'Share price - Share price'!D85</f>
        <v>1858326.40957336</v>
      </c>
      <c r="E11" s="18">
        <f>E9*'Share price - Share price'!D88</f>
        <v>2429260.458342</v>
      </c>
    </row>
    <row r="12" ht="20.05" customHeight="1">
      <c r="B12" t="s" s="34">
        <v>74</v>
      </c>
      <c r="C12" s="38"/>
      <c r="D12" s="45"/>
      <c r="E12" s="45">
        <f>E11/'Cash Flow - Cash Flow quarterly'!M27</f>
        <v>7.70961284165728</v>
      </c>
    </row>
    <row r="13" ht="20.05" customHeight="1">
      <c r="B13" t="s" s="34">
        <v>75</v>
      </c>
      <c r="C13" s="38"/>
      <c r="D13" s="45"/>
      <c r="E13" s="45">
        <f>E11/'Model - Financial model'!F19</f>
        <v>6.64064772731261</v>
      </c>
    </row>
    <row r="14" ht="20.05" customHeight="1">
      <c r="B14" t="s" s="34">
        <v>76</v>
      </c>
      <c r="C14" s="38"/>
      <c r="D14" s="45"/>
      <c r="E14" s="45">
        <f>E11/('Model - Financial model'!F26+'Model - Financial model'!F27+'Model - Financial model'!F29)</f>
        <v>3.25390816677137</v>
      </c>
    </row>
    <row r="15" ht="20.05" customHeight="1">
      <c r="B15" t="s" s="34">
        <v>77</v>
      </c>
      <c r="C15" s="38"/>
      <c r="D15" s="45"/>
      <c r="E15" s="45">
        <f>E11/'Model - Financial model'!F32</f>
        <v>32.4390319156776</v>
      </c>
    </row>
    <row r="16" ht="20.05" customHeight="1">
      <c r="B16" t="s" s="34">
        <v>78</v>
      </c>
      <c r="C16" s="38"/>
      <c r="D16" s="19"/>
      <c r="E16" s="19">
        <f>'Model - Financial model'!F25/'Model - Financial model'!F32</f>
        <v>1.15680477074066</v>
      </c>
    </row>
    <row r="17" ht="20.05" customHeight="1">
      <c r="B17" t="s" s="34">
        <v>11</v>
      </c>
      <c r="C17" s="38"/>
      <c r="D17" s="19"/>
      <c r="E17" s="19">
        <f>'Model - Financial model'!F19/'Model - Financial model'!E19-1</f>
        <v>0.243703719366957</v>
      </c>
    </row>
    <row r="18" ht="20.05" customHeight="1">
      <c r="B18" t="s" s="34">
        <v>79</v>
      </c>
      <c r="C18" s="38"/>
      <c r="D18" s="19"/>
      <c r="E18" s="19">
        <f>'Model - Financial model'!F25/'Model - Financial model'!E25-1</f>
        <v>0.355069476388218</v>
      </c>
    </row>
    <row r="19" ht="20.05" customHeight="1">
      <c r="B19" t="s" s="34">
        <v>80</v>
      </c>
      <c r="C19" s="38"/>
      <c r="D19" s="46"/>
      <c r="E19" s="46">
        <f>-('Model - Financial model'!C13+'Model - Financial model'!D13+'Model - Financial model'!E13+'Model - Financial model'!F13)/E11</f>
        <v>0.0320948016073016</v>
      </c>
    </row>
  </sheetData>
  <mergeCells count="1">
    <mergeCell ref="B2:E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