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<sst xmlns="http://schemas.openxmlformats.org/spreadsheetml/2006/main" uniqueCount="60">
  <si>
    <t>Financial model</t>
  </si>
  <si>
    <t>$m</t>
  </si>
  <si>
    <t>4Q 2021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</si>
  <si>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</si>
  <si>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</si>
  <si>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</si>
  <si>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</si>
  <si>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</si>
  <si>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</si>
  <si>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</si>
  <si>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</si>
  <si>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</si>
  <si>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</si>
  <si>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</si>
  <si>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</si>
  <si>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</si>
  <si>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</si>
  <si>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</si>
  <si>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</si>
  <si>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</si>
  <si>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</si>
  <si>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</si>
  <si>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</si>
  <si>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</si>
  <si>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</si>
  <si>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</si>
  <si>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</si>
  <si>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</si>
  <si>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</si>
  <si>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</si>
  <si>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</si>
  <si>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 xml:space="preserve">P/assets </t>
  </si>
  <si>
    <t xml:space="preserve">Yield </t>
  </si>
  <si>
    <t xml:space="preserve">Cashflow 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</si>
  <si>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</si>
  <si>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</si>
  <si>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</si>
  <si>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</si>
  <si>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</si>
  <si>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</si>
  <si>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</si>
  <si>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</si>
  <si>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 </t>
  </si>
  <si>
    <t>Profit quarterly</t>
  </si>
  <si>
    <t xml:space="preserve">Sales growth </t>
  </si>
  <si>
    <t xml:space="preserve">Cost ratio </t>
  </si>
  <si>
    <t xml:space="preserve">Costs </t>
  </si>
  <si>
    <t>Cash Flow quarterly</t>
  </si>
  <si>
    <t>Net income</t>
  </si>
  <si>
    <t xml:space="preserve">Working capital </t>
  </si>
  <si>
    <t>PPE</t>
  </si>
  <si>
    <t xml:space="preserve">Operating </t>
  </si>
  <si>
    <t xml:space="preserve">Investment </t>
  </si>
  <si>
    <t xml:space="preserve">Free cashflow </t>
  </si>
  <si>
    <t>Cash</t>
  </si>
  <si>
    <t>Assets</t>
  </si>
  <si>
    <t>Net cash</t>
  </si>
  <si>
    <t>Share price</t>
  </si>
  <si>
    <t>AAPL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</si>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</sst>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1012166</xdr:colOff>
      <xdr:row>1</xdr:row>
      <xdr:rowOff>255695</xdr:rowOff>
    </xdr:from>
    <xdr:to>
      <xdr:col>13</xdr:col>
      <xdr:colOff>1198380</xdr:colOff>
      <xdr:row>45</xdr:row>
      <xdr:rowOff>175109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596866" y="573195"/>
          <a:ext cx="8898415" cy="1122495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53906" style="1" customWidth="1"/>
    <col min="2" max="2" width="16.2734" style="1" customWidth="1"/>
    <col min="3" max="6" width="9.3125" style="1" customWidth="1"/>
    <col min="7" max="16384" width="16.3516" style="1" customWidth="1"/>
  </cols>
  <sheetData>
    <row r="1" ht="2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AVERAGE('Sales'!E27:E30)</f>
        <v>0.11475191081936</v>
      </c>
      <c r="D4" s="8"/>
      <c r="E4" s="8"/>
      <c r="F4" s="9">
        <f>AVERAGE(C5:F5)</f>
        <v>0.0475</v>
      </c>
    </row>
    <row r="5" ht="20.05" customHeight="1">
      <c r="B5" t="s" s="10">
        <v>4</v>
      </c>
      <c r="C5" s="11">
        <v>0.35</v>
      </c>
      <c r="D5" s="12">
        <v>-0.18</v>
      </c>
      <c r="E5" s="12">
        <v>-0.02</v>
      </c>
      <c r="F5" s="12">
        <v>0.04</v>
      </c>
    </row>
    <row r="6" ht="20.05" customHeight="1">
      <c r="B6" t="s" s="10">
        <v>5</v>
      </c>
      <c r="C6" s="13">
        <f>'Sales'!C30*(1+C5)</f>
        <v>112536</v>
      </c>
      <c r="D6" s="14">
        <f>C6*(1+D5)</f>
        <v>92279.52</v>
      </c>
      <c r="E6" s="14">
        <f>D6*(1+E5)</f>
        <v>90433.9296</v>
      </c>
      <c r="F6" s="14">
        <f>E6*(1+F5)</f>
        <v>94051.286784</v>
      </c>
    </row>
    <row r="7" ht="20.05" customHeight="1">
      <c r="B7" t="s" s="10">
        <v>6</v>
      </c>
      <c r="C7" s="11">
        <f>AVERAGE('Sales'!G28)</f>
        <v>-0.713091544563855</v>
      </c>
      <c r="D7" s="12">
        <f>'Sales'!F25</f>
        <v>-0.720180949987434</v>
      </c>
      <c r="E7" s="12">
        <f>'Sales'!F22</f>
        <v>-0.713241723922548</v>
      </c>
      <c r="F7" s="12">
        <f>'Sales'!F27</f>
        <v>-0.700392142786637</v>
      </c>
    </row>
    <row r="8" ht="20.05" customHeight="1">
      <c r="B8" t="s" s="10">
        <v>7</v>
      </c>
      <c r="C8" s="15">
        <f>C7*C6</f>
        <v>-80248.470059037994</v>
      </c>
      <c r="D8" s="16">
        <f>D7*D6</f>
        <v>-66457.9523779844</v>
      </c>
      <c r="E8" s="16">
        <f>E7*E6</f>
        <v>-64501.2518489943</v>
      </c>
      <c r="F8" s="16">
        <f>F7*F6</f>
        <v>-65872.7822824863</v>
      </c>
    </row>
    <row r="9" ht="20.05" customHeight="1">
      <c r="B9" t="s" s="10">
        <v>8</v>
      </c>
      <c r="C9" s="15">
        <f>C6+C8</f>
        <v>32287.529940962</v>
      </c>
      <c r="D9" s="16">
        <f>D6+D8</f>
        <v>25821.5676220156</v>
      </c>
      <c r="E9" s="16">
        <f>E6+E8</f>
        <v>25932.6777510057</v>
      </c>
      <c r="F9" s="16">
        <f>F6+F8</f>
        <v>28178.5045015137</v>
      </c>
    </row>
    <row r="10" ht="20.05" customHeight="1">
      <c r="B10" t="s" s="10">
        <v>9</v>
      </c>
      <c r="C10" s="15">
        <f>AVERAGE('Cashflow '!F30)</f>
        <v>-3223</v>
      </c>
      <c r="D10" s="16">
        <f>C10</f>
        <v>-3223</v>
      </c>
      <c r="E10" s="16">
        <f>D10</f>
        <v>-3223</v>
      </c>
      <c r="F10" s="16">
        <f>E10</f>
        <v>-3223</v>
      </c>
    </row>
    <row r="11" ht="20.05" customHeight="1">
      <c r="B11" t="s" s="10">
        <v>10</v>
      </c>
      <c r="C11" s="15">
        <f>C12+C13+C15</f>
        <v>-29064.529940962</v>
      </c>
      <c r="D11" s="16">
        <f>D12+D13+D15</f>
        <v>-22598.5676220156</v>
      </c>
      <c r="E11" s="16">
        <f>E12+E13+E15</f>
        <v>-22709.6777510057</v>
      </c>
      <c r="F11" s="16">
        <f>F12+F13+F15</f>
        <v>-24955.5045015137</v>
      </c>
    </row>
    <row r="12" ht="20.05" customHeight="1">
      <c r="B12" t="s" s="10">
        <v>11</v>
      </c>
      <c r="C12" s="15">
        <f>-('Balance sheet'!G30)/20</f>
        <v>-14395.6</v>
      </c>
      <c r="D12" s="16">
        <f>-C26/20</f>
        <v>-13675.82</v>
      </c>
      <c r="E12" s="16">
        <f>-D26/20</f>
        <v>-12992.029</v>
      </c>
      <c r="F12" s="16">
        <f>-E26/20</f>
        <v>-12342.42755</v>
      </c>
    </row>
    <row r="13" ht="20.05" customHeight="1">
      <c r="B13" t="s" s="10">
        <v>12</v>
      </c>
      <c r="C13" s="15">
        <f>-C21*0.9</f>
        <v>-27763.6769468658</v>
      </c>
      <c r="D13" s="16">
        <f>-D21*0.9</f>
        <v>-21944.310859814</v>
      </c>
      <c r="E13" s="16">
        <f>-E21*0.9</f>
        <v>-22044.3099759051</v>
      </c>
      <c r="F13" s="16">
        <f>-F21*0.9</f>
        <v>-24065.5540513623</v>
      </c>
    </row>
    <row r="14" ht="20.05" customHeight="1">
      <c r="B14" t="s" s="10">
        <v>13</v>
      </c>
      <c r="C14" s="15">
        <f>C9+C10+C12+C13</f>
        <v>-13094.7470059038</v>
      </c>
      <c r="D14" s="16">
        <f>D9+D10+D12+D13</f>
        <v>-13021.5632377984</v>
      </c>
      <c r="E14" s="16">
        <f>E9+E10+E12+E13</f>
        <v>-12326.6612248994</v>
      </c>
      <c r="F14" s="16">
        <f>F9+F10+F12+F13</f>
        <v>-11452.4770998486</v>
      </c>
    </row>
    <row r="15" ht="20.05" customHeight="1">
      <c r="B15" t="s" s="10">
        <v>14</v>
      </c>
      <c r="C15" s="15">
        <f>-MIN(0,C16,C16,C14)</f>
        <v>13094.7470059038</v>
      </c>
      <c r="D15" s="16">
        <f>-MIN(C27,D14)</f>
        <v>13021.5632377984</v>
      </c>
      <c r="E15" s="16">
        <f>-MIN(D27,E14)</f>
        <v>12326.6612248994</v>
      </c>
      <c r="F15" s="16">
        <f>-MIN(E27,F14)</f>
        <v>11452.4770998486</v>
      </c>
    </row>
    <row r="16" ht="20.05" customHeight="1">
      <c r="B16" t="s" s="10">
        <v>15</v>
      </c>
      <c r="C16" s="15">
        <f>'Balance sheet'!C30</f>
        <v>34940</v>
      </c>
      <c r="D16" s="16">
        <f>C18</f>
        <v>34940</v>
      </c>
      <c r="E16" s="16">
        <f>D18</f>
        <v>34940</v>
      </c>
      <c r="F16" s="16">
        <f>E18</f>
        <v>34940</v>
      </c>
    </row>
    <row r="17" ht="20.05" customHeight="1">
      <c r="B17" t="s" s="10">
        <v>16</v>
      </c>
      <c r="C17" s="15">
        <f>C9+C10+C11</f>
        <v>0</v>
      </c>
      <c r="D17" s="16">
        <f>D9+D10+D11</f>
        <v>0</v>
      </c>
      <c r="E17" s="16">
        <f>E9+E10+E11</f>
        <v>0</v>
      </c>
      <c r="F17" s="16">
        <f>F9+F10+F11</f>
        <v>0</v>
      </c>
    </row>
    <row r="18" ht="20.05" customHeight="1">
      <c r="B18" t="s" s="10">
        <v>17</v>
      </c>
      <c r="C18" s="15">
        <f>C16+C17</f>
        <v>34940</v>
      </c>
      <c r="D18" s="16">
        <f>D16+D17</f>
        <v>34940</v>
      </c>
      <c r="E18" s="16">
        <f>E16+E17</f>
        <v>34940</v>
      </c>
      <c r="F18" s="16">
        <f>F16+F17</f>
        <v>34940</v>
      </c>
    </row>
    <row r="19" ht="20.05" customHeight="1">
      <c r="B19" t="s" s="17">
        <v>18</v>
      </c>
      <c r="C19" s="18"/>
      <c r="D19" s="19"/>
      <c r="E19" s="19"/>
      <c r="F19" s="20"/>
    </row>
    <row r="20" ht="20.05" customHeight="1">
      <c r="B20" t="s" s="10">
        <v>19</v>
      </c>
      <c r="C20" s="15">
        <f>-AVERAGE('Cashflow '!D30)</f>
        <v>-1439</v>
      </c>
      <c r="D20" s="16">
        <f>C20</f>
        <v>-1439</v>
      </c>
      <c r="E20" s="16">
        <f>D20</f>
        <v>-1439</v>
      </c>
      <c r="F20" s="16">
        <f>E20</f>
        <v>-1439</v>
      </c>
    </row>
    <row r="21" ht="20.05" customHeight="1">
      <c r="B21" t="s" s="10">
        <v>20</v>
      </c>
      <c r="C21" s="15">
        <f>C6+C8+C20</f>
        <v>30848.529940962</v>
      </c>
      <c r="D21" s="16">
        <f>D6+D8+D20</f>
        <v>24382.5676220156</v>
      </c>
      <c r="E21" s="16">
        <f>E6+E8+E20</f>
        <v>24493.6777510057</v>
      </c>
      <c r="F21" s="16">
        <f>F6+F8+F20</f>
        <v>26739.5045015137</v>
      </c>
    </row>
    <row r="22" ht="20.05" customHeight="1">
      <c r="B22" t="s" s="17">
        <v>21</v>
      </c>
      <c r="C22" s="18"/>
      <c r="D22" s="19"/>
      <c r="E22" s="19"/>
      <c r="F22" s="16"/>
    </row>
    <row r="23" ht="20.05" customHeight="1">
      <c r="B23" t="s" s="10">
        <v>22</v>
      </c>
      <c r="C23" s="15">
        <f>'Balance sheet'!F30+'Balance sheet'!E30-C10</f>
        <v>408051</v>
      </c>
      <c r="D23" s="16">
        <f>C23-D10</f>
        <v>411274</v>
      </c>
      <c r="E23" s="16">
        <f>D23-E10</f>
        <v>414497</v>
      </c>
      <c r="F23" s="16">
        <f>E23-F10</f>
        <v>417720</v>
      </c>
    </row>
    <row r="24" ht="20.05" customHeight="1">
      <c r="B24" t="s" s="10">
        <v>23</v>
      </c>
      <c r="C24" s="15">
        <f>'Balance sheet'!F30-C20</f>
        <v>90205</v>
      </c>
      <c r="D24" s="16">
        <f>C24-D20</f>
        <v>91644</v>
      </c>
      <c r="E24" s="16">
        <f>D24-E20</f>
        <v>93083</v>
      </c>
      <c r="F24" s="16">
        <f>E24-F20</f>
        <v>94522</v>
      </c>
    </row>
    <row r="25" ht="20.05" customHeight="1">
      <c r="B25" t="s" s="10">
        <v>24</v>
      </c>
      <c r="C25" s="15">
        <f>C23-C24</f>
        <v>317846</v>
      </c>
      <c r="D25" s="16">
        <f>D23-D24</f>
        <v>319630</v>
      </c>
      <c r="E25" s="16">
        <f>E23-E24</f>
        <v>321414</v>
      </c>
      <c r="F25" s="16">
        <f>F23-F24</f>
        <v>323198</v>
      </c>
    </row>
    <row r="26" ht="20.05" customHeight="1">
      <c r="B26" t="s" s="10">
        <v>11</v>
      </c>
      <c r="C26" s="15">
        <f>'Balance sheet'!G30+C12</f>
        <v>273516.4</v>
      </c>
      <c r="D26" s="16">
        <f>C26+D12</f>
        <v>259840.58</v>
      </c>
      <c r="E26" s="16">
        <f>D26+E12</f>
        <v>246848.551</v>
      </c>
      <c r="F26" s="16">
        <f>E26+F12</f>
        <v>234506.12345</v>
      </c>
    </row>
    <row r="27" ht="20.05" customHeight="1">
      <c r="B27" t="s" s="10">
        <v>14</v>
      </c>
      <c r="C27" s="15">
        <f>C15</f>
        <v>13094.7470059038</v>
      </c>
      <c r="D27" s="16">
        <f>C27+D15</f>
        <v>26116.3102437022</v>
      </c>
      <c r="E27" s="16">
        <f>D27+E15</f>
        <v>38442.9714686016</v>
      </c>
      <c r="F27" s="16">
        <f>E27+F15</f>
        <v>49895.4485684502</v>
      </c>
    </row>
    <row r="28" ht="20.05" customHeight="1">
      <c r="B28" t="s" s="10">
        <v>25</v>
      </c>
      <c r="C28" s="15">
        <f>'Balance sheet'!H30+C21+C13</f>
        <v>66174.8529940962</v>
      </c>
      <c r="D28" s="16">
        <f>C28+D21+D13</f>
        <v>68613.1097562978</v>
      </c>
      <c r="E28" s="16">
        <f>D28+E21+E13</f>
        <v>71062.4775313984</v>
      </c>
      <c r="F28" s="16">
        <f>E28+F21+F13</f>
        <v>73736.4279815498</v>
      </c>
    </row>
    <row r="29" ht="20.05" customHeight="1">
      <c r="B29" t="s" s="10">
        <v>26</v>
      </c>
      <c r="C29" s="15">
        <f>C26+C27+C28-C18-C25</f>
        <v>0</v>
      </c>
      <c r="D29" s="16">
        <f>D26+D27+D28-D18-D25</f>
        <v>0</v>
      </c>
      <c r="E29" s="16">
        <f>E26+E27+E28-E18-E25</f>
        <v>0</v>
      </c>
      <c r="F29" s="16">
        <f>F26+F27+F28-F18-F25</f>
        <v>0</v>
      </c>
    </row>
    <row r="30" ht="20.05" customHeight="1">
      <c r="B30" t="s" s="10">
        <v>27</v>
      </c>
      <c r="C30" s="15">
        <f>C18-C26-C27</f>
        <v>-251671.147005904</v>
      </c>
      <c r="D30" s="16">
        <f>D18-D26-D27</f>
        <v>-251016.890243702</v>
      </c>
      <c r="E30" s="16">
        <f>E18-E26-E27</f>
        <v>-250351.522468602</v>
      </c>
      <c r="F30" s="16">
        <f>F18-F26-F27</f>
        <v>-249461.57201845</v>
      </c>
    </row>
    <row r="31" ht="20.05" customHeight="1">
      <c r="B31" t="s" s="17">
        <v>28</v>
      </c>
      <c r="C31" s="15"/>
      <c r="D31" s="16"/>
      <c r="E31" s="16"/>
      <c r="F31" s="16"/>
    </row>
    <row r="32" ht="20.05" customHeight="1">
      <c r="B32" t="s" s="10">
        <v>29</v>
      </c>
      <c r="C32" s="15">
        <f>'Cashflow '!L30-C11</f>
        <v>433500.529940962</v>
      </c>
      <c r="D32" s="16">
        <f>C32-D11</f>
        <v>456099.097562978</v>
      </c>
      <c r="E32" s="16">
        <f>D32-E11</f>
        <v>478808.775313984</v>
      </c>
      <c r="F32" s="16">
        <f>E32-F11</f>
        <v>503764.279815498</v>
      </c>
    </row>
    <row r="33" ht="20.05" customHeight="1">
      <c r="B33" t="s" s="10">
        <v>30</v>
      </c>
      <c r="C33" s="15"/>
      <c r="D33" s="16"/>
      <c r="E33" s="16"/>
      <c r="F33" s="16">
        <v>2522000</v>
      </c>
    </row>
    <row r="34" ht="20.05" customHeight="1">
      <c r="B34" t="s" s="10">
        <v>31</v>
      </c>
      <c r="C34" s="15"/>
      <c r="D34" s="16"/>
      <c r="E34" s="16"/>
      <c r="F34" s="21">
        <f>F33/(F18+F25)</f>
        <v>7.04197823185476</v>
      </c>
    </row>
    <row r="35" ht="20.05" customHeight="1">
      <c r="B35" t="s" s="10">
        <v>32</v>
      </c>
      <c r="C35" s="15"/>
      <c r="D35" s="16"/>
      <c r="E35" s="16"/>
      <c r="F35" s="22">
        <f>-(C13+D13+E13+F13)/F33</f>
        <v>0.0379928040578696</v>
      </c>
    </row>
    <row r="36" ht="20.05" customHeight="1">
      <c r="B36" t="s" s="10">
        <v>33</v>
      </c>
      <c r="C36" s="15"/>
      <c r="D36" s="16"/>
      <c r="E36" s="16"/>
      <c r="F36" s="16">
        <f>SUM(C9:F10)</f>
        <v>99328.279815496993</v>
      </c>
    </row>
    <row r="37" ht="20.05" customHeight="1">
      <c r="B37" t="s" s="10">
        <v>34</v>
      </c>
      <c r="C37" s="15"/>
      <c r="D37" s="16"/>
      <c r="E37" s="16"/>
      <c r="F37" s="21">
        <f>'Balance sheet'!E29/F36</f>
        <v>2.97790317671294</v>
      </c>
    </row>
    <row r="38" ht="20.05" customHeight="1">
      <c r="B38" t="s" s="10">
        <v>28</v>
      </c>
      <c r="C38" s="15"/>
      <c r="D38" s="16"/>
      <c r="E38" s="16"/>
      <c r="F38" s="16">
        <f>F33/F36</f>
        <v>25.3905534726327</v>
      </c>
    </row>
    <row r="39" ht="20.05" customHeight="1">
      <c r="B39" t="s" s="23">
        <v>35</v>
      </c>
      <c r="C39" s="15"/>
      <c r="D39" s="16"/>
      <c r="E39" s="16"/>
      <c r="F39" s="16">
        <v>32</v>
      </c>
    </row>
    <row r="40" ht="20.05" customHeight="1">
      <c r="B40" t="s" s="10">
        <v>36</v>
      </c>
      <c r="C40" s="15"/>
      <c r="D40" s="16"/>
      <c r="E40" s="16"/>
      <c r="F40" s="16">
        <f>F36*F39</f>
        <v>3178504.9540959</v>
      </c>
    </row>
    <row r="41" ht="20.05" customHeight="1">
      <c r="B41" t="s" s="10">
        <v>37</v>
      </c>
      <c r="C41" s="15"/>
      <c r="D41" s="16"/>
      <c r="E41" s="16"/>
      <c r="F41" s="16">
        <f>F33/F43</f>
        <v>16530.1173231959</v>
      </c>
    </row>
    <row r="42" ht="20.05" customHeight="1">
      <c r="B42" t="s" s="10">
        <v>38</v>
      </c>
      <c r="C42" s="15"/>
      <c r="D42" s="16"/>
      <c r="E42" s="16"/>
      <c r="F42" s="16">
        <f>F40/F41</f>
        <v>192.285686299132</v>
      </c>
    </row>
    <row r="43" ht="20.05" customHeight="1">
      <c r="B43" t="s" s="10">
        <v>39</v>
      </c>
      <c r="C43" s="15"/>
      <c r="D43" s="16"/>
      <c r="E43" s="16"/>
      <c r="F43" s="16">
        <f>'Share price'!C97</f>
        <v>152.57</v>
      </c>
    </row>
    <row r="44" ht="20.05" customHeight="1">
      <c r="B44" t="s" s="10">
        <v>40</v>
      </c>
      <c r="C44" s="15"/>
      <c r="D44" s="16"/>
      <c r="E44" s="16"/>
      <c r="F44" s="22">
        <f>F42/F43-1</f>
        <v>0.260311242702576</v>
      </c>
    </row>
    <row r="45" ht="20.05" customHeight="1">
      <c r="B45" t="s" s="10">
        <v>41</v>
      </c>
      <c r="C45" s="15"/>
      <c r="D45" s="16"/>
      <c r="E45" s="16"/>
      <c r="F45" s="22">
        <f>'Sales'!C30/'Sales'!C26-1</f>
        <v>0.288447865467248</v>
      </c>
    </row>
    <row r="46" ht="20.05" customHeight="1">
      <c r="B46" t="s" s="10">
        <v>42</v>
      </c>
      <c r="C46" s="15"/>
      <c r="D46" s="16"/>
      <c r="E46" s="16"/>
      <c r="F46" s="22">
        <f>('Sales'!D24+'Sales'!D25+'Sales'!D26+'Sales'!D27+'Sales'!D28+'Sales'!D29+'Sales'!D30)/('Sales'!C24+'Sales'!C25+'Sales'!C26+'Sales'!C27+'Sales'!C28+'Sales'!C29+'Sales'!C30)-1</f>
        <v>-0.0438431358965056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G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54688" style="24" customWidth="1"/>
    <col min="2" max="2" width="8.41406" style="24" customWidth="1"/>
    <col min="3" max="7" width="11.1797" style="24" customWidth="1"/>
    <col min="8" max="16384" width="16.3516" style="24" customWidth="1"/>
  </cols>
  <sheetData>
    <row r="1" ht="23.75" customHeight="1"/>
    <row r="2" ht="27.65" customHeight="1">
      <c r="B2" t="s" s="2">
        <v>43</v>
      </c>
      <c r="C2" s="2"/>
      <c r="D2" s="2"/>
      <c r="E2" s="2"/>
      <c r="F2" s="2"/>
      <c r="G2" s="2"/>
    </row>
    <row r="3" ht="32.25" customHeight="1">
      <c r="B3" t="s" s="4">
        <v>1</v>
      </c>
      <c r="C3" t="s" s="4">
        <v>5</v>
      </c>
      <c r="D3" t="s" s="4">
        <v>35</v>
      </c>
      <c r="E3" t="s" s="4">
        <v>44</v>
      </c>
      <c r="F3" t="s" s="4">
        <v>45</v>
      </c>
      <c r="G3" t="s" s="4">
        <v>46</v>
      </c>
    </row>
    <row r="4" ht="20.25" customHeight="1">
      <c r="B4" s="25">
        <v>2015</v>
      </c>
      <c r="C4" s="26">
        <v>58010</v>
      </c>
      <c r="D4" s="27"/>
      <c r="E4" s="28"/>
      <c r="F4" s="28">
        <f>('Cashflow '!C4+'Cashflow '!D4-C4)/C4</f>
        <v>-0.723358041716945</v>
      </c>
      <c r="G4" s="28"/>
    </row>
    <row r="5" ht="20.05" customHeight="1">
      <c r="B5" s="29"/>
      <c r="C5" s="13">
        <v>49605</v>
      </c>
      <c r="D5" s="16"/>
      <c r="E5" s="22">
        <f>C5/C4-1</f>
        <v>-0.144888812273746</v>
      </c>
      <c r="F5" s="22">
        <f>('Cashflow '!C5+'Cashflow '!D5-C5)/C5</f>
        <v>-0.722588448745086</v>
      </c>
      <c r="G5" s="22"/>
    </row>
    <row r="6" ht="20.05" customHeight="1">
      <c r="B6" s="29"/>
      <c r="C6" s="13">
        <f>233715-SUM(C4:C5)</f>
        <v>126100</v>
      </c>
      <c r="D6" s="16"/>
      <c r="E6" s="22">
        <f>C6/C5-1</f>
        <v>1.54208245136579</v>
      </c>
      <c r="F6" s="22">
        <f>('Cashflow '!C6+'Cashflow '!D6-C6)/C6</f>
        <v>-0.887049960348929</v>
      </c>
      <c r="G6" s="22"/>
    </row>
    <row r="7" ht="20.05" customHeight="1">
      <c r="B7" s="29"/>
      <c r="C7" s="13">
        <v>75872</v>
      </c>
      <c r="D7" s="16"/>
      <c r="E7" s="22">
        <f>C7/C6-1</f>
        <v>-0.398318794607454</v>
      </c>
      <c r="F7" s="22">
        <f>('Cashflow '!C7+'Cashflow '!D7-C7)/C7</f>
        <v>-0.719066322226908</v>
      </c>
      <c r="G7" s="22"/>
    </row>
    <row r="8" ht="20.05" customHeight="1">
      <c r="B8" s="30">
        <v>2016</v>
      </c>
      <c r="C8" s="13">
        <v>50557</v>
      </c>
      <c r="D8" s="16"/>
      <c r="E8" s="22">
        <f>C8/C7-1</f>
        <v>-0.333654048924504</v>
      </c>
      <c r="F8" s="22">
        <f>('Cashflow '!C8+'Cashflow '!D8-C8)/C8</f>
        <v>-0.721977174278537</v>
      </c>
      <c r="G8" s="22">
        <f>AVERAGE(F5:F8)</f>
        <v>-0.762670476399865</v>
      </c>
    </row>
    <row r="9" ht="20.05" customHeight="1">
      <c r="B9" s="29"/>
      <c r="C9" s="13">
        <v>42358</v>
      </c>
      <c r="D9" s="16"/>
      <c r="E9" s="22">
        <f>C9/C8-1</f>
        <v>-0.162173388452638</v>
      </c>
      <c r="F9" s="22">
        <f>('Cashflow '!C9+'Cashflow '!D9-C9)/C9</f>
        <v>-0.7314320789461261</v>
      </c>
      <c r="G9" s="22">
        <f>AVERAGE(F6:F9)</f>
        <v>-0.7648813839501249</v>
      </c>
    </row>
    <row r="10" ht="20.05" customHeight="1">
      <c r="B10" s="29"/>
      <c r="C10" s="13">
        <f>215639-SUM(C7:C9)</f>
        <v>46852</v>
      </c>
      <c r="D10" s="16"/>
      <c r="E10" s="22">
        <f>C10/C9-1</f>
        <v>0.106095660796072</v>
      </c>
      <c r="F10" s="22">
        <f>('Cashflow '!C10+'Cashflow '!D10-C10)/C10</f>
        <v>-0.731238794501836</v>
      </c>
      <c r="G10" s="22">
        <f>AVERAGE(F7:F10)</f>
        <v>-0.725928592488352</v>
      </c>
    </row>
    <row r="11" ht="20.05" customHeight="1">
      <c r="B11" s="29"/>
      <c r="C11" s="13">
        <v>78351</v>
      </c>
      <c r="D11" s="16"/>
      <c r="E11" s="22">
        <f>C11/C10-1</f>
        <v>0.672308546059933</v>
      </c>
      <c r="F11" s="22">
        <f>('Cashflow '!C11+'Cashflow '!D11-C11)/C11</f>
        <v>-0.717502010184937</v>
      </c>
      <c r="G11" s="22">
        <f>AVERAGE(F8:F11)</f>
        <v>-0.725537514477859</v>
      </c>
    </row>
    <row r="12" ht="20.05" customHeight="1">
      <c r="B12" s="30">
        <v>2017</v>
      </c>
      <c r="C12" s="13">
        <v>52896</v>
      </c>
      <c r="D12" s="16"/>
      <c r="E12" s="22">
        <f>C12/C11-1</f>
        <v>-0.324884175058391</v>
      </c>
      <c r="F12" s="22">
        <f>('Cashflow '!C12+'Cashflow '!D12-C12)/C12</f>
        <v>-0.7244026013309131</v>
      </c>
      <c r="G12" s="22">
        <f>AVERAGE(F9:F12)</f>
        <v>-0.726143871240953</v>
      </c>
    </row>
    <row r="13" ht="20.05" customHeight="1">
      <c r="B13" s="29"/>
      <c r="C13" s="13">
        <v>45408</v>
      </c>
      <c r="D13" s="16"/>
      <c r="E13" s="22">
        <f>C13/C12-1</f>
        <v>-0.141560798548094</v>
      </c>
      <c r="F13" s="22">
        <f>('Cashflow '!C13+'Cashflow '!D13-C13)/C13</f>
        <v>-0.729915433403805</v>
      </c>
      <c r="G13" s="22">
        <f>AVERAGE(F10:F13)</f>
        <v>-0.725764709855373</v>
      </c>
    </row>
    <row r="14" ht="20.05" customHeight="1">
      <c r="B14" s="29"/>
      <c r="C14" s="13">
        <f>229234-SUM(C11:C13)</f>
        <v>52579</v>
      </c>
      <c r="D14" s="16"/>
      <c r="E14" s="22">
        <f>C14/C13-1</f>
        <v>0.157923713883016</v>
      </c>
      <c r="F14" s="22">
        <f>('Cashflow '!C14+'Cashflow '!D14-C14)/C14</f>
        <v>-0.726658932273341</v>
      </c>
      <c r="G14" s="22">
        <f>AVERAGE(F11:F14)</f>
        <v>-0.724619744298249</v>
      </c>
    </row>
    <row r="15" ht="20.05" customHeight="1">
      <c r="B15" s="29"/>
      <c r="C15" s="13">
        <v>88293</v>
      </c>
      <c r="D15" s="16"/>
      <c r="E15" s="22">
        <f>C15/C14-1</f>
        <v>0.6792445653207549</v>
      </c>
      <c r="F15" s="22">
        <f>('Cashflow '!C15+'Cashflow '!D15-C15)/C15</f>
        <v>-0.726977223562457</v>
      </c>
      <c r="G15" s="22">
        <f>AVERAGE(F12:F15)</f>
        <v>-0.726988547642629</v>
      </c>
    </row>
    <row r="16" ht="20.05" customHeight="1">
      <c r="B16" s="30">
        <v>2018</v>
      </c>
      <c r="C16" s="13">
        <v>61137</v>
      </c>
      <c r="D16" s="16"/>
      <c r="E16" s="22">
        <f>C16/C15-1</f>
        <v>-0.307566851279263</v>
      </c>
      <c r="F16" s="22">
        <f>('Cashflow '!C16+'Cashflow '!D16-C16)/C16</f>
        <v>-0.707067733123967</v>
      </c>
      <c r="G16" s="22">
        <f>AVERAGE(F13:F16)</f>
        <v>-0.722654830590893</v>
      </c>
    </row>
    <row r="17" ht="20.05" customHeight="1">
      <c r="B17" s="29"/>
      <c r="C17" s="13">
        <v>53265</v>
      </c>
      <c r="D17" s="16"/>
      <c r="E17" s="22">
        <f>C17/C16-1</f>
        <v>-0.128759998037195</v>
      </c>
      <c r="F17" s="22">
        <f>('Cashflow '!C17+'Cashflow '!D17-C17)/C17</f>
        <v>-0.708345067117244</v>
      </c>
      <c r="G17" s="22">
        <f>AVERAGE(F14:F17)</f>
        <v>-0.717262239019252</v>
      </c>
    </row>
    <row r="18" ht="20.05" customHeight="1">
      <c r="B18" s="29"/>
      <c r="C18" s="13">
        <f>265595-SUM(C15:C17)</f>
        <v>62900</v>
      </c>
      <c r="D18" s="16"/>
      <c r="E18" s="22">
        <f>C18/C17-1</f>
        <v>0.180888012766357</v>
      </c>
      <c r="F18" s="22">
        <f>('Cashflow '!C18+'Cashflow '!D18-C18)/C18</f>
        <v>-0.71027027027027</v>
      </c>
      <c r="G18" s="22">
        <f>AVERAGE(F15:F18)</f>
        <v>-0.713165073518485</v>
      </c>
    </row>
    <row r="19" ht="20.05" customHeight="1">
      <c r="B19" s="29"/>
      <c r="C19" s="13">
        <v>84310</v>
      </c>
      <c r="D19" s="16"/>
      <c r="E19" s="22">
        <f>C19/C18-1</f>
        <v>0.340381558028617</v>
      </c>
      <c r="F19" s="22">
        <f>('Cashflow '!C19+'Cashflow '!D19-C19)/C19</f>
        <v>-0.704436009963231</v>
      </c>
      <c r="G19" s="22">
        <f>AVERAGE(F16:F19)</f>
        <v>-0.707529770118678</v>
      </c>
    </row>
    <row r="20" ht="20.05" customHeight="1">
      <c r="B20" s="30">
        <v>2019</v>
      </c>
      <c r="C20" s="13">
        <v>58015</v>
      </c>
      <c r="D20" s="16"/>
      <c r="E20" s="22">
        <f>C20/C19-1</f>
        <v>-0.311884711184913</v>
      </c>
      <c r="F20" s="22">
        <f>('Cashflow '!C20+'Cashflow '!D20-C20)/C20</f>
        <v>-0.722227010255968</v>
      </c>
      <c r="G20" s="22">
        <f>AVERAGE(F17:F20)</f>
        <v>-0.7113195894016781</v>
      </c>
    </row>
    <row r="21" ht="20.05" customHeight="1">
      <c r="B21" s="29"/>
      <c r="C21" s="13">
        <v>53809</v>
      </c>
      <c r="D21" s="16"/>
      <c r="E21" s="22">
        <f>C21/C20-1</f>
        <v>-0.07249849176937</v>
      </c>
      <c r="F21" s="22">
        <f>('Cashflow '!C21+'Cashflow '!D21-C21)/C21</f>
        <v>-0.731030125072014</v>
      </c>
      <c r="G21" s="22">
        <f>AVERAGE(F18:F21)</f>
        <v>-0.716990853890371</v>
      </c>
    </row>
    <row r="22" ht="20.05" customHeight="1">
      <c r="B22" s="29"/>
      <c r="C22" s="13">
        <f>260174-SUM(C19:C21)</f>
        <v>64040</v>
      </c>
      <c r="D22" s="16"/>
      <c r="E22" s="22">
        <f>C22/C21-1</f>
        <v>0.19013547919493</v>
      </c>
      <c r="F22" s="22">
        <f>('Cashflow '!C22+'Cashflow '!D22-C22)/C22</f>
        <v>-0.713241723922548</v>
      </c>
      <c r="G22" s="22">
        <f>AVERAGE(F19:F22)</f>
        <v>-0.71773371730344</v>
      </c>
    </row>
    <row r="23" ht="20.05" customHeight="1">
      <c r="B23" s="29"/>
      <c r="C23" s="13">
        <v>91819</v>
      </c>
      <c r="D23" s="16"/>
      <c r="E23" s="22">
        <f>C23/C22-1</f>
        <v>0.433775765146783</v>
      </c>
      <c r="F23" s="22">
        <f>('Cashflow '!C23+'Cashflow '!D23-C23)/C23</f>
        <v>-0.713882747579477</v>
      </c>
      <c r="G23" s="22">
        <f>AVERAGE(F20:F23)</f>
        <v>-0.720095401707502</v>
      </c>
    </row>
    <row r="24" ht="20.05" customHeight="1">
      <c r="B24" s="30">
        <v>2020</v>
      </c>
      <c r="C24" s="13">
        <v>58313</v>
      </c>
      <c r="D24" s="14">
        <v>63816.5</v>
      </c>
      <c r="E24" s="22">
        <f>C24/C23-1</f>
        <v>-0.364913579978</v>
      </c>
      <c r="F24" s="22">
        <f>('Cashflow '!C24+'Cashflow '!D24-C24)/C24</f>
        <v>-0.737399893677225</v>
      </c>
      <c r="G24" s="22">
        <f>AVERAGE(F21:F24)</f>
        <v>-0.7238886225628161</v>
      </c>
    </row>
    <row r="25" ht="20.05" customHeight="1">
      <c r="B25" s="29"/>
      <c r="C25" s="13">
        <v>59685</v>
      </c>
      <c r="D25" s="14">
        <v>48428.1</v>
      </c>
      <c r="E25" s="22">
        <f>C25/C24-1</f>
        <v>0.0235282012587245</v>
      </c>
      <c r="F25" s="22">
        <f>('Cashflow '!C25+'Cashflow '!D25-C25)/C25</f>
        <v>-0.720180949987434</v>
      </c>
      <c r="G25" s="22">
        <f>AVERAGE(F22:F25)</f>
        <v>-0.721176328791671</v>
      </c>
    </row>
    <row r="26" ht="20.05" customHeight="1">
      <c r="B26" s="29"/>
      <c r="C26" s="15">
        <v>64698</v>
      </c>
      <c r="D26" s="14">
        <v>62759.2</v>
      </c>
      <c r="E26" s="22">
        <f>C26/C25-1</f>
        <v>0.0839909525006283</v>
      </c>
      <c r="F26" s="22">
        <f>('Cashflow '!C26+'Cashflow '!D26-C26)/C26</f>
        <v>-0.74189310334168</v>
      </c>
      <c r="G26" s="22">
        <f>AVERAGE(F23:F26)</f>
        <v>-0.728339173646454</v>
      </c>
    </row>
    <row r="27" ht="20.05" customHeight="1">
      <c r="B27" s="29"/>
      <c r="C27" s="13">
        <v>111439</v>
      </c>
      <c r="D27" s="14">
        <v>90577.2</v>
      </c>
      <c r="E27" s="22">
        <f>C27/C26-1</f>
        <v>0.722448916504374</v>
      </c>
      <c r="F27" s="22">
        <f>('Cashflow '!C27+'Cashflow '!D27-C27)/C27</f>
        <v>-0.700392142786637</v>
      </c>
      <c r="G27" s="22">
        <f>AVERAGE(F24:F27)</f>
        <v>-0.724966522448244</v>
      </c>
    </row>
    <row r="28" ht="20.05" customHeight="1">
      <c r="B28" s="30">
        <v>2021</v>
      </c>
      <c r="C28" s="15">
        <v>89584</v>
      </c>
      <c r="D28" s="14">
        <v>81350.47</v>
      </c>
      <c r="E28" s="22">
        <f>C28/C27-1</f>
        <v>-0.196116260914043</v>
      </c>
      <c r="F28" s="22">
        <f>('Cashflow '!C28+'Cashflow '!D28-C28)/C28</f>
        <v>-0.689899982139668</v>
      </c>
      <c r="G28" s="22">
        <f>AVERAGE(F25:F28)</f>
        <v>-0.713091544563855</v>
      </c>
    </row>
    <row r="29" ht="20.05" customHeight="1">
      <c r="B29" s="29"/>
      <c r="C29" s="15">
        <v>81434</v>
      </c>
      <c r="D29" s="14">
        <v>89584</v>
      </c>
      <c r="E29" s="22">
        <f>C29/C28-1</f>
        <v>-0.0909760671548491</v>
      </c>
      <c r="F29" s="22">
        <f>('Cashflow '!C29+'Cashflow '!D29-C29)/C29</f>
        <v>-0.683289535083626</v>
      </c>
      <c r="G29" s="22">
        <f>AVERAGE(F26:F29)</f>
        <v>-0.703868690837903</v>
      </c>
    </row>
    <row r="30" ht="20.05" customHeight="1">
      <c r="B30" s="29"/>
      <c r="C30" s="15">
        <v>83360</v>
      </c>
      <c r="D30" s="16">
        <v>87949</v>
      </c>
      <c r="E30" s="22">
        <f>C30/C29-1</f>
        <v>0.0236510548419579</v>
      </c>
      <c r="F30" s="22">
        <f>('Cashflow '!C30+'Cashflow '!D30-C30)/C30</f>
        <v>-0.736204414587332</v>
      </c>
      <c r="G30" s="22">
        <f>AVERAGE(F27:F30)</f>
        <v>-0.702446518649316</v>
      </c>
    </row>
    <row r="31" ht="20.05" customHeight="1">
      <c r="B31" s="29"/>
      <c r="C31" s="15"/>
      <c r="D31" s="14">
        <f>'Model'!C6</f>
        <v>112536</v>
      </c>
      <c r="E31" s="19"/>
      <c r="F31" s="19"/>
      <c r="G31" s="22">
        <f>'Model'!C7</f>
        <v>-0.713091544563855</v>
      </c>
    </row>
    <row r="32" ht="20.05" customHeight="1">
      <c r="B32" s="30">
        <v>2022</v>
      </c>
      <c r="C32" s="15"/>
      <c r="D32" s="14">
        <f>SUM('Model'!D6)</f>
        <v>92279.52</v>
      </c>
      <c r="E32" s="19"/>
      <c r="F32" s="16"/>
      <c r="G32" s="16"/>
    </row>
    <row r="33" ht="20.05" customHeight="1">
      <c r="B33" s="29"/>
      <c r="C33" s="15"/>
      <c r="D33" s="14">
        <f>'Model'!E6</f>
        <v>90433.9296</v>
      </c>
      <c r="E33" s="19"/>
      <c r="F33" s="16"/>
      <c r="G33" s="16"/>
    </row>
    <row r="34" ht="20.05" customHeight="1">
      <c r="B34" s="29"/>
      <c r="C34" s="15"/>
      <c r="D34" s="14">
        <f>'Model'!F6</f>
        <v>94051.286784</v>
      </c>
      <c r="E34" s="19"/>
      <c r="F34" s="16"/>
      <c r="G34" s="16"/>
    </row>
  </sheetData>
  <mergeCells count="1">
    <mergeCell ref="B2:G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71875" style="31" customWidth="1"/>
    <col min="2" max="2" width="9.63281" style="31" customWidth="1"/>
    <col min="3" max="3" width="9.6875" style="31" customWidth="1"/>
    <col min="4" max="4" width="12.1719" style="31" customWidth="1"/>
    <col min="5" max="12" width="9.6875" style="31" customWidth="1"/>
    <col min="13" max="16384" width="16.3516" style="31" customWidth="1"/>
  </cols>
  <sheetData>
    <row r="1" ht="26.9" customHeight="1"/>
    <row r="2" ht="27.65" customHeight="1">
      <c r="B2" t="s" s="2">
        <v>47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4">
        <v>1</v>
      </c>
      <c r="C3" t="s" s="4">
        <v>48</v>
      </c>
      <c r="D3" t="s" s="4">
        <v>19</v>
      </c>
      <c r="E3" t="s" s="4">
        <v>49</v>
      </c>
      <c r="F3" t="s" s="4">
        <v>50</v>
      </c>
      <c r="G3" t="s" s="4">
        <v>51</v>
      </c>
      <c r="H3" t="s" s="4">
        <v>52</v>
      </c>
      <c r="I3" t="s" s="4">
        <v>10</v>
      </c>
      <c r="J3" t="s" s="4">
        <v>53</v>
      </c>
      <c r="K3" t="s" s="4">
        <v>33</v>
      </c>
      <c r="L3" t="s" s="4">
        <v>29</v>
      </c>
    </row>
    <row r="4" ht="20.35" customHeight="1">
      <c r="B4" s="25">
        <v>2015</v>
      </c>
      <c r="C4" s="32">
        <v>13569</v>
      </c>
      <c r="D4" s="27">
        <v>2479</v>
      </c>
      <c r="E4" s="27">
        <f>G4-D4-C4</f>
        <v>3033</v>
      </c>
      <c r="F4" s="27">
        <v>-2793</v>
      </c>
      <c r="G4" s="27">
        <v>19081</v>
      </c>
      <c r="H4" s="27">
        <v>-22331</v>
      </c>
      <c r="I4" s="27">
        <v>-1739</v>
      </c>
      <c r="J4" s="27">
        <f>G4+F4</f>
        <v>16288</v>
      </c>
      <c r="K4" s="27"/>
      <c r="L4" s="27">
        <f>-I4</f>
        <v>1739</v>
      </c>
    </row>
    <row r="5" ht="20.15" customHeight="1">
      <c r="B5" s="29"/>
      <c r="C5" s="15">
        <v>10677</v>
      </c>
      <c r="D5" s="16">
        <v>3084</v>
      </c>
      <c r="E5" s="16">
        <f>G5-D5-C5</f>
        <v>1227</v>
      </c>
      <c r="F5" s="16">
        <v>-2043</v>
      </c>
      <c r="G5" s="16">
        <v>14988</v>
      </c>
      <c r="H5" s="16">
        <v>-11403</v>
      </c>
      <c r="I5" s="16">
        <v>-2755</v>
      </c>
      <c r="J5" s="16">
        <f>G5+F5</f>
        <v>12945</v>
      </c>
      <c r="K5" s="16"/>
      <c r="L5" s="16">
        <f>-I5+L4</f>
        <v>4494</v>
      </c>
    </row>
    <row r="6" ht="20.15" customHeight="1">
      <c r="B6" s="29"/>
      <c r="C6" s="15">
        <v>11124</v>
      </c>
      <c r="D6" s="16">
        <v>3119</v>
      </c>
      <c r="E6" s="16">
        <f>G6-D6-C6</f>
        <v>-768</v>
      </c>
      <c r="F6" s="16">
        <v>-3618</v>
      </c>
      <c r="G6" s="16">
        <v>13475</v>
      </c>
      <c r="H6" s="16">
        <v>-1375</v>
      </c>
      <c r="I6" s="16">
        <v>-6299</v>
      </c>
      <c r="J6" s="16">
        <f>G6+F6</f>
        <v>9857</v>
      </c>
      <c r="K6" s="16"/>
      <c r="L6" s="16">
        <f>-I6+L5</f>
        <v>10793</v>
      </c>
    </row>
    <row r="7" ht="20.15" customHeight="1">
      <c r="B7" s="29"/>
      <c r="C7" s="15">
        <v>18361</v>
      </c>
      <c r="D7" s="16">
        <v>2954</v>
      </c>
      <c r="E7" s="16">
        <f>G7-D7-C7</f>
        <v>6148</v>
      </c>
      <c r="F7" s="16">
        <v>-3612</v>
      </c>
      <c r="G7" s="16">
        <v>27463</v>
      </c>
      <c r="H7" s="16">
        <v>-20450</v>
      </c>
      <c r="I7" s="16">
        <v>-11444</v>
      </c>
      <c r="J7" s="16">
        <f>G7+F7</f>
        <v>23851</v>
      </c>
      <c r="K7" s="16"/>
      <c r="L7" s="16">
        <f>-I7+L6</f>
        <v>22237</v>
      </c>
    </row>
    <row r="8" ht="20.15" customHeight="1">
      <c r="B8" s="30">
        <v>2016</v>
      </c>
      <c r="C8" s="15">
        <v>10516</v>
      </c>
      <c r="D8" s="16">
        <v>3540</v>
      </c>
      <c r="E8" s="16">
        <f>G8-D8-C8</f>
        <v>-2455</v>
      </c>
      <c r="F8" s="16">
        <v>-2336</v>
      </c>
      <c r="G8" s="16">
        <v>11601</v>
      </c>
      <c r="H8" s="16">
        <v>-13660</v>
      </c>
      <c r="I8" s="16">
        <v>6884</v>
      </c>
      <c r="J8" s="16">
        <f>G8+F8</f>
        <v>9265</v>
      </c>
      <c r="K8" s="16">
        <f>AVERAGE(J5:J8)</f>
        <v>13979.5</v>
      </c>
      <c r="L8" s="16">
        <f>-I8+L7</f>
        <v>15353</v>
      </c>
    </row>
    <row r="9" ht="20.15" customHeight="1">
      <c r="B9" s="29"/>
      <c r="C9" s="15">
        <v>7796</v>
      </c>
      <c r="D9" s="16">
        <v>3580</v>
      </c>
      <c r="E9" s="16">
        <f>G9-D9-C9</f>
        <v>-742</v>
      </c>
      <c r="F9" s="16">
        <v>-2809</v>
      </c>
      <c r="G9" s="16">
        <v>10634</v>
      </c>
      <c r="H9" s="16">
        <v>-4470</v>
      </c>
      <c r="I9" s="16">
        <v>-9441</v>
      </c>
      <c r="J9" s="16">
        <f>G9+F9</f>
        <v>7825</v>
      </c>
      <c r="K9" s="16">
        <f>AVERAGE(J6:J9)</f>
        <v>12699.5</v>
      </c>
      <c r="L9" s="16">
        <f>-I9+L8</f>
        <v>24794</v>
      </c>
    </row>
    <row r="10" ht="20.15" customHeight="1">
      <c r="B10" s="29"/>
      <c r="C10" s="15">
        <v>9014</v>
      </c>
      <c r="D10" s="16">
        <v>3578</v>
      </c>
      <c r="E10" s="16">
        <f>G10-D10-C10</f>
        <v>3941</v>
      </c>
      <c r="F10" s="16">
        <v>-3977</v>
      </c>
      <c r="G10" s="16">
        <v>16533</v>
      </c>
      <c r="H10" s="16">
        <v>-7397</v>
      </c>
      <c r="I10" s="16">
        <v>-6889</v>
      </c>
      <c r="J10" s="16">
        <f>G10+F10</f>
        <v>12556</v>
      </c>
      <c r="K10" s="16">
        <f>AVERAGE(J7:J10)</f>
        <v>13374.25</v>
      </c>
      <c r="L10" s="16">
        <f>-I10+L9</f>
        <v>31683</v>
      </c>
    </row>
    <row r="11" ht="20.15" customHeight="1">
      <c r="B11" s="29"/>
      <c r="C11" s="15">
        <v>17891</v>
      </c>
      <c r="D11" s="16">
        <v>4243</v>
      </c>
      <c r="E11" s="16">
        <f>G11-D11-C11</f>
        <v>5100</v>
      </c>
      <c r="F11" s="16">
        <v>-3334</v>
      </c>
      <c r="G11" s="16">
        <v>27234</v>
      </c>
      <c r="H11" s="16">
        <v>-19122</v>
      </c>
      <c r="I11" s="16">
        <v>-12225</v>
      </c>
      <c r="J11" s="16">
        <f>G11+F11</f>
        <v>23900</v>
      </c>
      <c r="K11" s="16">
        <f>AVERAGE(J8:J11)</f>
        <v>13386.5</v>
      </c>
      <c r="L11" s="16">
        <f>-I11+L10</f>
        <v>43908</v>
      </c>
    </row>
    <row r="12" ht="20.15" customHeight="1">
      <c r="B12" s="30">
        <v>2017</v>
      </c>
      <c r="C12" s="15">
        <v>11029</v>
      </c>
      <c r="D12" s="16">
        <v>3549</v>
      </c>
      <c r="E12" s="16">
        <f>G12-D12-C12</f>
        <v>-2008</v>
      </c>
      <c r="F12" s="16">
        <v>-2975</v>
      </c>
      <c r="G12" s="16">
        <v>12570</v>
      </c>
      <c r="H12" s="16">
        <v>-14202</v>
      </c>
      <c r="I12" s="16">
        <v>418</v>
      </c>
      <c r="J12" s="16">
        <f>G12+F12</f>
        <v>9595</v>
      </c>
      <c r="K12" s="16">
        <f>AVERAGE(J9:J12)</f>
        <v>13469</v>
      </c>
      <c r="L12" s="16">
        <f>-I12+L11</f>
        <v>43490</v>
      </c>
    </row>
    <row r="13" ht="20.15" customHeight="1">
      <c r="B13" s="29"/>
      <c r="C13" s="15">
        <v>8717</v>
      </c>
      <c r="D13" s="16">
        <v>3547</v>
      </c>
      <c r="E13" s="16">
        <f>G13-D13-C13</f>
        <v>-3592</v>
      </c>
      <c r="F13" s="16">
        <v>-2277</v>
      </c>
      <c r="G13" s="16">
        <v>8672</v>
      </c>
      <c r="H13" s="16">
        <v>-3180</v>
      </c>
      <c r="I13" s="16">
        <v>-2078</v>
      </c>
      <c r="J13" s="16">
        <f>G13+F13</f>
        <v>6395</v>
      </c>
      <c r="K13" s="16">
        <f>AVERAGE(J10:J13)</f>
        <v>13111.5</v>
      </c>
      <c r="L13" s="16">
        <f>-I13+L12</f>
        <v>45568</v>
      </c>
    </row>
    <row r="14" ht="20.15" customHeight="1">
      <c r="B14" s="29"/>
      <c r="C14" s="15">
        <v>10714</v>
      </c>
      <c r="D14" s="16">
        <v>3658</v>
      </c>
      <c r="E14" s="16">
        <f>G14-D14-C14</f>
        <v>1377</v>
      </c>
      <c r="F14" s="16">
        <v>-3865</v>
      </c>
      <c r="G14" s="16">
        <v>15749</v>
      </c>
      <c r="H14" s="16">
        <v>-9942</v>
      </c>
      <c r="I14" s="16">
        <v>-4089</v>
      </c>
      <c r="J14" s="16">
        <f>G14+F14</f>
        <v>11884</v>
      </c>
      <c r="K14" s="16">
        <f>AVERAGE(J11:J14)</f>
        <v>12943.5</v>
      </c>
      <c r="L14" s="16">
        <f>-I14+L13</f>
        <v>49657</v>
      </c>
    </row>
    <row r="15" ht="20.15" customHeight="1">
      <c r="B15" s="29"/>
      <c r="C15" s="15">
        <v>20065</v>
      </c>
      <c r="D15" s="16">
        <v>4041</v>
      </c>
      <c r="E15" s="16">
        <f>G15-D15-C15</f>
        <v>-21361</v>
      </c>
      <c r="F15" s="16">
        <v>-2810</v>
      </c>
      <c r="G15" s="16">
        <v>2745</v>
      </c>
      <c r="H15" s="16">
        <v>2745</v>
      </c>
      <c r="I15" s="16">
        <v>2745</v>
      </c>
      <c r="J15" s="16">
        <f>G15+F15</f>
        <v>-65</v>
      </c>
      <c r="K15" s="16">
        <f>AVERAGE(J12:J15)</f>
        <v>6952.25</v>
      </c>
      <c r="L15" s="16">
        <f>-I15+L14</f>
        <v>46912</v>
      </c>
    </row>
    <row r="16" ht="20.15" customHeight="1">
      <c r="B16" s="30">
        <v>2018</v>
      </c>
      <c r="C16" s="15">
        <v>13822</v>
      </c>
      <c r="D16" s="16">
        <v>4087</v>
      </c>
      <c r="E16" s="16">
        <f>G16-D16-C16</f>
        <v>-2779</v>
      </c>
      <c r="F16" s="16">
        <v>-4195</v>
      </c>
      <c r="G16" s="16">
        <v>15130</v>
      </c>
      <c r="H16" s="16">
        <v>28710</v>
      </c>
      <c r="I16" s="16">
        <v>-26272</v>
      </c>
      <c r="J16" s="16">
        <f>G16+F16</f>
        <v>10935</v>
      </c>
      <c r="K16" s="16">
        <f>AVERAGE(J13:J16)</f>
        <v>7287.25</v>
      </c>
      <c r="L16" s="16">
        <f>-I16+L15</f>
        <v>73184</v>
      </c>
    </row>
    <row r="17" ht="20.15" customHeight="1">
      <c r="B17" s="29"/>
      <c r="C17" s="15">
        <v>11519</v>
      </c>
      <c r="D17" s="16">
        <v>4016</v>
      </c>
      <c r="E17" s="16">
        <f>G17-D17-C17</f>
        <v>-1047</v>
      </c>
      <c r="F17" s="16">
        <v>-3267</v>
      </c>
      <c r="G17" s="16">
        <v>14488</v>
      </c>
      <c r="H17" s="16">
        <v>3947</v>
      </c>
      <c r="I17" s="16">
        <v>-31523</v>
      </c>
      <c r="J17" s="16">
        <f>G17+F17</f>
        <v>11221</v>
      </c>
      <c r="K17" s="16">
        <f>AVERAGE(J14:J17)</f>
        <v>8493.75</v>
      </c>
      <c r="L17" s="16">
        <f>-I17+L16</f>
        <v>104707</v>
      </c>
    </row>
    <row r="18" ht="20.15" customHeight="1">
      <c r="B18" s="29"/>
      <c r="C18" s="15">
        <v>14125</v>
      </c>
      <c r="D18" s="16">
        <v>4099</v>
      </c>
      <c r="E18" s="16">
        <f>G18-D18-C18</f>
        <v>1299</v>
      </c>
      <c r="F18" s="16">
        <v>-3041</v>
      </c>
      <c r="G18" s="16">
        <v>19523</v>
      </c>
      <c r="H18" s="16">
        <v>-3001</v>
      </c>
      <c r="I18" s="16">
        <v>-22580</v>
      </c>
      <c r="J18" s="16">
        <f>G18+F18</f>
        <v>16482</v>
      </c>
      <c r="K18" s="16">
        <f>AVERAGE(J15:J18)</f>
        <v>9643.25</v>
      </c>
      <c r="L18" s="16">
        <f>-I18+L17</f>
        <v>127287</v>
      </c>
    </row>
    <row r="19" ht="20.15" customHeight="1">
      <c r="B19" s="29"/>
      <c r="C19" s="15">
        <v>19965</v>
      </c>
      <c r="D19" s="16">
        <v>4954</v>
      </c>
      <c r="E19" s="16">
        <f>G19-D19-C19</f>
        <v>1771</v>
      </c>
      <c r="F19" s="16">
        <v>-3355</v>
      </c>
      <c r="G19" s="16">
        <v>26690</v>
      </c>
      <c r="H19" s="16">
        <v>5844</v>
      </c>
      <c r="I19" s="16">
        <v>-13676</v>
      </c>
      <c r="J19" s="16">
        <f>G19+F19</f>
        <v>23335</v>
      </c>
      <c r="K19" s="16">
        <f>AVERAGE(J16:J19)</f>
        <v>15493.25</v>
      </c>
      <c r="L19" s="16">
        <f>-I19+L18</f>
        <v>140963</v>
      </c>
    </row>
    <row r="20" ht="20.15" customHeight="1">
      <c r="B20" s="30">
        <v>2019</v>
      </c>
      <c r="C20" s="15">
        <v>11561</v>
      </c>
      <c r="D20" s="16">
        <v>4554</v>
      </c>
      <c r="E20" s="16">
        <f>G20-D20-C20</f>
        <v>-4960</v>
      </c>
      <c r="F20" s="16">
        <v>-2363</v>
      </c>
      <c r="G20" s="16">
        <v>11155</v>
      </c>
      <c r="H20" s="16">
        <v>13348</v>
      </c>
      <c r="I20" s="16">
        <v>-29457</v>
      </c>
      <c r="J20" s="16">
        <f>G20+F20</f>
        <v>8792</v>
      </c>
      <c r="K20" s="16">
        <f>AVERAGE(J17:J20)</f>
        <v>14957.5</v>
      </c>
      <c r="L20" s="16">
        <f>-I20+L19</f>
        <v>170420</v>
      </c>
    </row>
    <row r="21" ht="20.15" customHeight="1">
      <c r="B21" s="29"/>
      <c r="C21" s="15">
        <v>10044</v>
      </c>
      <c r="D21" s="16">
        <v>4429</v>
      </c>
      <c r="E21" s="16">
        <f>G21-D21-C21</f>
        <v>-2837</v>
      </c>
      <c r="F21" s="16">
        <v>-2000</v>
      </c>
      <c r="G21" s="16">
        <v>11636</v>
      </c>
      <c r="H21" s="16">
        <v>27502</v>
      </c>
      <c r="I21" s="16">
        <v>-26804</v>
      </c>
      <c r="J21" s="16">
        <f>G21+F21</f>
        <v>9636</v>
      </c>
      <c r="K21" s="16">
        <f>AVERAGE(J18:J21)</f>
        <v>14561.25</v>
      </c>
      <c r="L21" s="16">
        <f>-I21+L20</f>
        <v>197224</v>
      </c>
    </row>
    <row r="22" ht="20.15" customHeight="1">
      <c r="B22" s="29"/>
      <c r="C22" s="15">
        <v>13686</v>
      </c>
      <c r="D22" s="16">
        <v>4678</v>
      </c>
      <c r="E22" s="16">
        <f>G22-D22-C22</f>
        <v>1546</v>
      </c>
      <c r="F22" s="16">
        <v>-2777</v>
      </c>
      <c r="G22" s="16">
        <v>19910</v>
      </c>
      <c r="H22" s="16">
        <v>-798</v>
      </c>
      <c r="I22" s="16">
        <v>-21039</v>
      </c>
      <c r="J22" s="16">
        <f>G22+F22</f>
        <v>17133</v>
      </c>
      <c r="K22" s="16">
        <f>AVERAGE(J19:J22)</f>
        <v>14724</v>
      </c>
      <c r="L22" s="16">
        <f>-I22+L21</f>
        <v>218263</v>
      </c>
    </row>
    <row r="23" ht="20.15" customHeight="1">
      <c r="B23" s="29"/>
      <c r="C23" s="15">
        <v>22236</v>
      </c>
      <c r="D23" s="16">
        <v>4035</v>
      </c>
      <c r="E23" s="16">
        <f>G23-D23-C23</f>
        <v>4245</v>
      </c>
      <c r="F23" s="16">
        <v>-2107</v>
      </c>
      <c r="G23" s="16">
        <v>30516</v>
      </c>
      <c r="H23" s="16">
        <v>-13668</v>
      </c>
      <c r="I23" s="16">
        <v>-25407</v>
      </c>
      <c r="J23" s="16">
        <f>G23+F23</f>
        <v>28409</v>
      </c>
      <c r="K23" s="16">
        <f>AVERAGE(J20:J23)</f>
        <v>15992.5</v>
      </c>
      <c r="L23" s="16">
        <f>-I23+L22</f>
        <v>243670</v>
      </c>
    </row>
    <row r="24" ht="20.15" customHeight="1">
      <c r="B24" s="30">
        <v>2020</v>
      </c>
      <c r="C24" s="15">
        <v>11249</v>
      </c>
      <c r="D24" s="16">
        <v>4064</v>
      </c>
      <c r="E24" s="16">
        <f>G24-D24-C24</f>
        <v>-2002</v>
      </c>
      <c r="F24" s="16">
        <v>-1853</v>
      </c>
      <c r="G24" s="16">
        <v>13311</v>
      </c>
      <c r="H24" s="16">
        <v>9013</v>
      </c>
      <c r="I24" s="16">
        <v>-20940</v>
      </c>
      <c r="J24" s="16">
        <f>G24+F24</f>
        <v>11458</v>
      </c>
      <c r="K24" s="16">
        <f>AVERAGE(J21:J24)</f>
        <v>16659</v>
      </c>
      <c r="L24" s="16">
        <f>-I24+L23</f>
        <v>264610</v>
      </c>
    </row>
    <row r="25" ht="20.15" customHeight="1">
      <c r="B25" s="29"/>
      <c r="C25" s="15">
        <v>11253</v>
      </c>
      <c r="D25" s="16">
        <v>5448</v>
      </c>
      <c r="E25" s="16">
        <f>G25-D25-C25</f>
        <v>-430</v>
      </c>
      <c r="F25" s="16">
        <v>-1565</v>
      </c>
      <c r="G25" s="16">
        <v>16271</v>
      </c>
      <c r="H25" s="16">
        <v>-5165</v>
      </c>
      <c r="I25" s="16">
        <v>-19116</v>
      </c>
      <c r="J25" s="16">
        <f>G25+F25</f>
        <v>14706</v>
      </c>
      <c r="K25" s="16">
        <f>AVERAGE(J22:J25)</f>
        <v>17926.5</v>
      </c>
      <c r="L25" s="16">
        <f>-I25+L24</f>
        <v>283726</v>
      </c>
    </row>
    <row r="26" ht="20.15" customHeight="1">
      <c r="B26" s="29"/>
      <c r="C26" s="15">
        <v>12673</v>
      </c>
      <c r="D26" s="16">
        <v>4026</v>
      </c>
      <c r="E26" s="16">
        <f>G26-D26-C26</f>
        <v>3877</v>
      </c>
      <c r="F26" s="16">
        <v>-1784</v>
      </c>
      <c r="G26" s="16">
        <v>20576</v>
      </c>
      <c r="H26" s="16">
        <f>-4289-H25-H24-H23</f>
        <v>5531</v>
      </c>
      <c r="I26" s="16">
        <v>-21357</v>
      </c>
      <c r="J26" s="16">
        <f>G26+F26</f>
        <v>18792</v>
      </c>
      <c r="K26" s="16">
        <f>AVERAGE(J23:J26)</f>
        <v>18341.25</v>
      </c>
      <c r="L26" s="16">
        <f>-I26+L25</f>
        <v>305083</v>
      </c>
    </row>
    <row r="27" ht="20.15" customHeight="1">
      <c r="B27" s="29"/>
      <c r="C27" s="15">
        <v>28755</v>
      </c>
      <c r="D27" s="16">
        <v>4633</v>
      </c>
      <c r="E27" s="16">
        <f>G27-D27-C27</f>
        <v>5375</v>
      </c>
      <c r="F27" s="16">
        <v>-3500</v>
      </c>
      <c r="G27" s="16">
        <v>38763</v>
      </c>
      <c r="H27" s="16">
        <v>-8584</v>
      </c>
      <c r="I27" s="16">
        <v>-32249</v>
      </c>
      <c r="J27" s="16">
        <f>G27+F27</f>
        <v>35263</v>
      </c>
      <c r="K27" s="16">
        <f>AVERAGE(J24:J27)</f>
        <v>20054.75</v>
      </c>
      <c r="L27" s="16">
        <f>-I27+L26</f>
        <v>337332</v>
      </c>
    </row>
    <row r="28" ht="20.15" customHeight="1">
      <c r="B28" s="30">
        <v>2021</v>
      </c>
      <c r="C28" s="15">
        <v>23630</v>
      </c>
      <c r="D28" s="16">
        <v>4150</v>
      </c>
      <c r="E28" s="16">
        <f>G28-D28-C28</f>
        <v>-3799</v>
      </c>
      <c r="F28" s="16">
        <v>-2269</v>
      </c>
      <c r="G28" s="16">
        <v>23981</v>
      </c>
      <c r="H28" s="16">
        <v>-10368</v>
      </c>
      <c r="I28" s="16">
        <v>-11326</v>
      </c>
      <c r="J28" s="16">
        <f>G28+F28</f>
        <v>21712</v>
      </c>
      <c r="K28" s="16">
        <f>AVERAGE(J25:J28)</f>
        <v>22618.25</v>
      </c>
      <c r="L28" s="16">
        <f>-I28+L27</f>
        <v>348658</v>
      </c>
    </row>
    <row r="29" ht="20.15" customHeight="1">
      <c r="B29" s="29"/>
      <c r="C29" s="15">
        <v>21744</v>
      </c>
      <c r="D29" s="16">
        <v>4047</v>
      </c>
      <c r="E29" s="16">
        <f>G29-D29-C29</f>
        <v>-4697</v>
      </c>
      <c r="F29" s="16">
        <v>-2093</v>
      </c>
      <c r="G29" s="16">
        <v>21094</v>
      </c>
      <c r="H29" s="16">
        <v>3572</v>
      </c>
      <c r="I29" s="16">
        <v>-29396</v>
      </c>
      <c r="J29" s="16">
        <f>G29+F29</f>
        <v>19001</v>
      </c>
      <c r="K29" s="16">
        <f>AVERAGE(J26:J29)</f>
        <v>23692</v>
      </c>
      <c r="L29" s="16">
        <f>-I29+L28</f>
        <v>378054</v>
      </c>
    </row>
    <row r="30" ht="20.15" customHeight="1">
      <c r="B30" s="29"/>
      <c r="C30" s="15">
        <f>94680-C29-C28-C27</f>
        <v>20551</v>
      </c>
      <c r="D30" s="16">
        <f>11284+7906-4774-147-D29-D28-D27</f>
        <v>1439</v>
      </c>
      <c r="E30" s="16">
        <f>G30-D30-C30</f>
        <v>-1790</v>
      </c>
      <c r="F30" s="16">
        <f>-11085-F29-F28-F27</f>
        <v>-3223</v>
      </c>
      <c r="G30" s="16">
        <f>104038-G29-G28-G27</f>
        <v>20200</v>
      </c>
      <c r="H30" s="16">
        <f>-14545-H29-H28-H27</f>
        <v>835</v>
      </c>
      <c r="I30" s="16">
        <f>-99353-I29-I28-I27</f>
        <v>-26382</v>
      </c>
      <c r="J30" s="16">
        <f>G30+F30</f>
        <v>16977</v>
      </c>
      <c r="K30" s="16">
        <f>AVERAGE(J27:J30)</f>
        <v>23238.25</v>
      </c>
      <c r="L30" s="16">
        <f>-I30+L29</f>
        <v>404436</v>
      </c>
    </row>
    <row r="31" ht="20.15" customHeight="1">
      <c r="B31" s="29"/>
      <c r="C31" s="15"/>
      <c r="D31" s="16"/>
      <c r="E31" s="16"/>
      <c r="F31" s="16"/>
      <c r="G31" s="20"/>
      <c r="H31" s="16"/>
      <c r="I31" s="16"/>
      <c r="J31" s="16"/>
      <c r="K31" s="16">
        <f>'Model'!F9+'Model'!F10</f>
        <v>24955.5045015137</v>
      </c>
      <c r="L31" s="16">
        <f>'Model'!F32</f>
        <v>503764.279815498</v>
      </c>
    </row>
  </sheetData>
  <mergeCells count="1">
    <mergeCell ref="B2:L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3" customWidth="1"/>
    <col min="2" max="2" width="9.03906" style="33" customWidth="1"/>
    <col min="3" max="11" width="11.9609" style="33" customWidth="1"/>
    <col min="12" max="16384" width="16.3516" style="33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20.25" customHeight="1">
      <c r="B3" t="s" s="4">
        <v>1</v>
      </c>
      <c r="C3" t="s" s="4">
        <v>54</v>
      </c>
      <c r="D3" t="s" s="4">
        <v>55</v>
      </c>
      <c r="E3" t="s" s="4">
        <v>22</v>
      </c>
      <c r="F3" t="s" s="4">
        <v>23</v>
      </c>
      <c r="G3" t="s" s="4">
        <v>11</v>
      </c>
      <c r="H3" t="s" s="4">
        <v>25</v>
      </c>
      <c r="I3" t="s" s="4">
        <v>26</v>
      </c>
      <c r="J3" t="s" s="4">
        <v>56</v>
      </c>
      <c r="K3" t="s" s="4">
        <v>35</v>
      </c>
    </row>
    <row r="4" ht="20.25" customHeight="1">
      <c r="B4" s="25">
        <v>2015</v>
      </c>
      <c r="C4" s="32">
        <v>14489</v>
      </c>
      <c r="D4" s="27">
        <v>261194</v>
      </c>
      <c r="E4" s="27">
        <f>D4-C4</f>
        <v>246705</v>
      </c>
      <c r="F4" s="27">
        <v>22309</v>
      </c>
      <c r="G4" s="27">
        <v>132188</v>
      </c>
      <c r="H4" s="27">
        <v>129006</v>
      </c>
      <c r="I4" s="27">
        <f>G4+H4-C4-E4</f>
        <v>0</v>
      </c>
      <c r="J4" s="27">
        <f>C4-G4</f>
        <v>-117699</v>
      </c>
      <c r="K4" s="27"/>
    </row>
    <row r="5" ht="20.05" customHeight="1">
      <c r="B5" s="29"/>
      <c r="C5" s="15">
        <v>15319</v>
      </c>
      <c r="D5" s="16">
        <v>273151</v>
      </c>
      <c r="E5" s="16">
        <f>D5-C5</f>
        <v>257832</v>
      </c>
      <c r="F5" s="16">
        <v>24395</v>
      </c>
      <c r="G5" s="16">
        <v>147474</v>
      </c>
      <c r="H5" s="16">
        <v>125677</v>
      </c>
      <c r="I5" s="16">
        <f>G5+H5-C5-E5</f>
        <v>0</v>
      </c>
      <c r="J5" s="16">
        <f>C5-G5</f>
        <v>-132155</v>
      </c>
      <c r="K5" s="16"/>
    </row>
    <row r="6" ht="20.05" customHeight="1">
      <c r="B6" s="29"/>
      <c r="C6" s="15">
        <v>21120</v>
      </c>
      <c r="D6" s="16">
        <v>290345</v>
      </c>
      <c r="E6" s="16">
        <f>D6-C6</f>
        <v>269225</v>
      </c>
      <c r="F6" s="16">
        <v>26786</v>
      </c>
      <c r="G6" s="16">
        <v>170990</v>
      </c>
      <c r="H6" s="16">
        <v>119355</v>
      </c>
      <c r="I6" s="16">
        <f>G6+H6-C6-E6</f>
        <v>0</v>
      </c>
      <c r="J6" s="16">
        <f>C6-G6</f>
        <v>-149870</v>
      </c>
      <c r="K6" s="16"/>
    </row>
    <row r="7" ht="20.05" customHeight="1">
      <c r="B7" s="29"/>
      <c r="C7" s="15">
        <v>16689</v>
      </c>
      <c r="D7" s="16">
        <v>293284</v>
      </c>
      <c r="E7" s="16">
        <f>D7-C7</f>
        <v>276595</v>
      </c>
      <c r="F7" s="16">
        <v>29042</v>
      </c>
      <c r="G7" s="16">
        <v>165017</v>
      </c>
      <c r="H7" s="16">
        <v>128267</v>
      </c>
      <c r="I7" s="16">
        <f>G7+H7-C7-E7</f>
        <v>0</v>
      </c>
      <c r="J7" s="16">
        <f>C7-G7</f>
        <v>-148328</v>
      </c>
      <c r="K7" s="16"/>
    </row>
    <row r="8" ht="20.05" customHeight="1">
      <c r="B8" s="30">
        <v>2016</v>
      </c>
      <c r="C8" s="15">
        <v>21514</v>
      </c>
      <c r="D8" s="16">
        <v>305277</v>
      </c>
      <c r="E8" s="16">
        <f>D8-C8</f>
        <v>283763</v>
      </c>
      <c r="F8" s="16">
        <v>30848</v>
      </c>
      <c r="G8" s="16">
        <v>174820</v>
      </c>
      <c r="H8" s="16">
        <v>130457</v>
      </c>
      <c r="I8" s="16">
        <f>G8+H8-C8-E8</f>
        <v>0</v>
      </c>
      <c r="J8" s="16">
        <f>C8-G8</f>
        <v>-153306</v>
      </c>
      <c r="K8" s="16"/>
    </row>
    <row r="9" ht="20.05" customHeight="1">
      <c r="B9" s="29"/>
      <c r="C9" s="15">
        <v>18237</v>
      </c>
      <c r="D9" s="16">
        <v>305602</v>
      </c>
      <c r="E9" s="16">
        <f>D9-C9</f>
        <v>287365</v>
      </c>
      <c r="F9" s="16">
        <v>32543</v>
      </c>
      <c r="G9" s="16">
        <v>179061</v>
      </c>
      <c r="H9" s="16">
        <v>126541</v>
      </c>
      <c r="I9" s="16">
        <f>G9+H9-C9-E9</f>
        <v>0</v>
      </c>
      <c r="J9" s="16">
        <f>C9-G9</f>
        <v>-160824</v>
      </c>
      <c r="K9" s="16"/>
    </row>
    <row r="10" ht="20.05" customHeight="1">
      <c r="B10" s="29"/>
      <c r="C10" s="15">
        <v>20484</v>
      </c>
      <c r="D10" s="16">
        <v>321686</v>
      </c>
      <c r="E10" s="16">
        <f>D10-C10</f>
        <v>301202</v>
      </c>
      <c r="F10" s="16">
        <v>34235</v>
      </c>
      <c r="G10" s="16">
        <v>193437</v>
      </c>
      <c r="H10" s="16">
        <v>128249</v>
      </c>
      <c r="I10" s="16">
        <f>G10+H10-C10-E10</f>
        <v>0</v>
      </c>
      <c r="J10" s="16">
        <f>C10-G10</f>
        <v>-172953</v>
      </c>
      <c r="K10" s="16"/>
    </row>
    <row r="11" ht="20.05" customHeight="1">
      <c r="B11" s="29"/>
      <c r="C11" s="15">
        <v>16371</v>
      </c>
      <c r="D11" s="16">
        <v>331141</v>
      </c>
      <c r="E11" s="16">
        <f>D11-C11</f>
        <v>314770</v>
      </c>
      <c r="F11" s="16">
        <v>36249</v>
      </c>
      <c r="G11" s="16">
        <v>198751</v>
      </c>
      <c r="H11" s="16">
        <v>132390</v>
      </c>
      <c r="I11" s="16">
        <f>G11+H11-C11-E11</f>
        <v>0</v>
      </c>
      <c r="J11" s="16">
        <f>C11-G11</f>
        <v>-182380</v>
      </c>
      <c r="K11" s="16"/>
    </row>
    <row r="12" ht="20.05" customHeight="1">
      <c r="B12" s="30">
        <v>2017</v>
      </c>
      <c r="C12" s="15">
        <v>15157</v>
      </c>
      <c r="D12" s="16">
        <v>334532</v>
      </c>
      <c r="E12" s="16">
        <f>D12-C12</f>
        <v>319375</v>
      </c>
      <c r="F12" s="16">
        <v>37961</v>
      </c>
      <c r="G12" s="16">
        <v>200450</v>
      </c>
      <c r="H12" s="16">
        <v>134082</v>
      </c>
      <c r="I12" s="16">
        <f>G12+H12-C12-E12</f>
        <v>0</v>
      </c>
      <c r="J12" s="16">
        <f>C12-G12</f>
        <v>-185293</v>
      </c>
      <c r="K12" s="16"/>
    </row>
    <row r="13" ht="20.05" customHeight="1">
      <c r="B13" s="29"/>
      <c r="C13" s="15">
        <v>18571</v>
      </c>
      <c r="D13" s="16">
        <v>345173</v>
      </c>
      <c r="E13" s="16">
        <f>D13-C13</f>
        <v>326602</v>
      </c>
      <c r="F13" s="16">
        <v>39695</v>
      </c>
      <c r="G13" s="16">
        <v>212748</v>
      </c>
      <c r="H13" s="16">
        <v>132425</v>
      </c>
      <c r="I13" s="16">
        <f>G13+H13-C13-E13</f>
        <v>0</v>
      </c>
      <c r="J13" s="16">
        <f>C13-G13</f>
        <v>-194177</v>
      </c>
      <c r="K13" s="16"/>
    </row>
    <row r="14" ht="20.05" customHeight="1">
      <c r="B14" s="29"/>
      <c r="C14" s="15">
        <v>20289</v>
      </c>
      <c r="D14" s="16">
        <v>375319</v>
      </c>
      <c r="E14" s="16">
        <f>D14-C14</f>
        <v>355030</v>
      </c>
      <c r="F14" s="16">
        <v>41293</v>
      </c>
      <c r="G14" s="16">
        <v>241272</v>
      </c>
      <c r="H14" s="16">
        <v>134047</v>
      </c>
      <c r="I14" s="16">
        <f>G14+H14-C14-E14</f>
        <v>0</v>
      </c>
      <c r="J14" s="16">
        <f>C14-G14</f>
        <v>-220983</v>
      </c>
      <c r="K14" s="16"/>
    </row>
    <row r="15" ht="20.05" customHeight="1">
      <c r="B15" s="29"/>
      <c r="C15" s="15">
        <v>27491</v>
      </c>
      <c r="D15" s="16">
        <v>406794</v>
      </c>
      <c r="E15" s="16">
        <f>D15-C15</f>
        <v>379303</v>
      </c>
      <c r="F15" s="16">
        <v>43431</v>
      </c>
      <c r="G15" s="16">
        <v>266595</v>
      </c>
      <c r="H15" s="16">
        <v>140199</v>
      </c>
      <c r="I15" s="16">
        <f>G15+H15-C15-E15</f>
        <v>0</v>
      </c>
      <c r="J15" s="16">
        <f>C15-G15</f>
        <v>-239104</v>
      </c>
      <c r="K15" s="16"/>
    </row>
    <row r="16" ht="20.05" customHeight="1">
      <c r="B16" s="30">
        <v>2018</v>
      </c>
      <c r="C16" s="15">
        <v>45059</v>
      </c>
      <c r="D16" s="16">
        <v>367502</v>
      </c>
      <c r="E16" s="16">
        <f>D16-C16</f>
        <v>322443</v>
      </c>
      <c r="F16" s="16">
        <v>45425</v>
      </c>
      <c r="G16" s="16">
        <v>240624</v>
      </c>
      <c r="H16" s="16">
        <v>126878</v>
      </c>
      <c r="I16" s="16">
        <f>G16+H16-C16-E16</f>
        <v>0</v>
      </c>
      <c r="J16" s="16">
        <f>C16-G16</f>
        <v>-195565</v>
      </c>
      <c r="K16" s="16"/>
    </row>
    <row r="17" ht="20.05" customHeight="1">
      <c r="B17" s="29"/>
      <c r="C17" s="15">
        <v>31971</v>
      </c>
      <c r="D17" s="16">
        <v>349197</v>
      </c>
      <c r="E17" s="16">
        <f>D17-C17</f>
        <v>317226</v>
      </c>
      <c r="F17" s="16">
        <v>47521</v>
      </c>
      <c r="G17" s="16">
        <v>234248</v>
      </c>
      <c r="H17" s="16">
        <v>114949</v>
      </c>
      <c r="I17" s="16">
        <f>G17+H17-C17-E17</f>
        <v>0</v>
      </c>
      <c r="J17" s="16">
        <f>C17-G17</f>
        <v>-202277</v>
      </c>
      <c r="K17" s="16"/>
    </row>
    <row r="18" ht="20.05" customHeight="1">
      <c r="B18" s="29"/>
      <c r="C18" s="15">
        <v>25913</v>
      </c>
      <c r="D18" s="16">
        <v>365725</v>
      </c>
      <c r="E18" s="16">
        <f>D18-C18</f>
        <v>339812</v>
      </c>
      <c r="F18" s="16">
        <v>49099</v>
      </c>
      <c r="G18" s="16">
        <v>258578</v>
      </c>
      <c r="H18" s="16">
        <v>107147</v>
      </c>
      <c r="I18" s="16">
        <f>G18+H18-C18-E18</f>
        <v>0</v>
      </c>
      <c r="J18" s="16">
        <f>C18-G18</f>
        <v>-232665</v>
      </c>
      <c r="K18" s="16"/>
    </row>
    <row r="19" ht="20.05" customHeight="1">
      <c r="B19" s="29"/>
      <c r="C19" s="15">
        <v>44771</v>
      </c>
      <c r="D19" s="16">
        <v>373719</v>
      </c>
      <c r="E19" s="16">
        <f>D19-C19</f>
        <v>328948</v>
      </c>
      <c r="F19" s="16">
        <v>51929</v>
      </c>
      <c r="G19" s="16">
        <v>255827</v>
      </c>
      <c r="H19" s="16">
        <v>117892</v>
      </c>
      <c r="I19" s="16">
        <f>G19+H19-C19-E19</f>
        <v>0</v>
      </c>
      <c r="J19" s="16">
        <f>C19-G19</f>
        <v>-211056</v>
      </c>
      <c r="K19" s="16"/>
    </row>
    <row r="20" ht="20.05" customHeight="1">
      <c r="B20" s="30">
        <v>2019</v>
      </c>
      <c r="C20" s="15">
        <v>37988</v>
      </c>
      <c r="D20" s="16">
        <v>341998</v>
      </c>
      <c r="E20" s="16">
        <f>D20-C20</f>
        <v>304010</v>
      </c>
      <c r="F20" s="16">
        <v>54290</v>
      </c>
      <c r="G20" s="16">
        <v>236138</v>
      </c>
      <c r="H20" s="16">
        <v>105860</v>
      </c>
      <c r="I20" s="16">
        <f>G20+H20-C20-E20</f>
        <v>0</v>
      </c>
      <c r="J20" s="16">
        <f>C20-G20</f>
        <v>-198150</v>
      </c>
      <c r="K20" s="16"/>
    </row>
    <row r="21" ht="20.05" customHeight="1">
      <c r="B21" s="29"/>
      <c r="C21" s="15">
        <v>50530</v>
      </c>
      <c r="D21" s="16">
        <v>322239</v>
      </c>
      <c r="E21" s="16">
        <f>D21-C21</f>
        <v>271709</v>
      </c>
      <c r="F21" s="16">
        <v>56348</v>
      </c>
      <c r="G21" s="16">
        <v>225783</v>
      </c>
      <c r="H21" s="16">
        <v>96456</v>
      </c>
      <c r="I21" s="16">
        <f>G21+H21-C21-E21</f>
        <v>0</v>
      </c>
      <c r="J21" s="16">
        <f>C21-G21</f>
        <v>-175253</v>
      </c>
      <c r="K21" s="16"/>
    </row>
    <row r="22" ht="20.05" customHeight="1">
      <c r="B22" s="29"/>
      <c r="C22" s="15">
        <v>48844</v>
      </c>
      <c r="D22" s="16">
        <v>338516</v>
      </c>
      <c r="E22" s="16">
        <f>D22-C22</f>
        <v>289672</v>
      </c>
      <c r="F22" s="16">
        <v>58579</v>
      </c>
      <c r="G22" s="16">
        <v>248028</v>
      </c>
      <c r="H22" s="16">
        <v>90488</v>
      </c>
      <c r="I22" s="16">
        <f>G22+H22-C22-E22</f>
        <v>0</v>
      </c>
      <c r="J22" s="16">
        <f>C22-G22</f>
        <v>-199184</v>
      </c>
      <c r="K22" s="16"/>
    </row>
    <row r="23" ht="20.05" customHeight="1">
      <c r="B23" s="29"/>
      <c r="C23" s="15">
        <v>39771</v>
      </c>
      <c r="D23" s="16">
        <v>340618</v>
      </c>
      <c r="E23" s="16">
        <f>D23-C23</f>
        <v>300847</v>
      </c>
      <c r="F23" s="16">
        <v>60959</v>
      </c>
      <c r="G23" s="16">
        <v>251087</v>
      </c>
      <c r="H23" s="16">
        <v>89531</v>
      </c>
      <c r="I23" s="16">
        <f>G23+H23-C23-E23</f>
        <v>0</v>
      </c>
      <c r="J23" s="16">
        <f>C23-G23</f>
        <v>-211316</v>
      </c>
      <c r="K23" s="16"/>
    </row>
    <row r="24" ht="20.05" customHeight="1">
      <c r="B24" s="30">
        <v>2020</v>
      </c>
      <c r="C24" s="15">
        <v>40174</v>
      </c>
      <c r="D24" s="16">
        <v>320400</v>
      </c>
      <c r="E24" s="16">
        <f>D24-C24</f>
        <v>280226</v>
      </c>
      <c r="F24" s="16">
        <f>F23+'Cashflow '!D24</f>
        <v>65023</v>
      </c>
      <c r="G24" s="16">
        <v>241975</v>
      </c>
      <c r="H24" s="16">
        <v>78425</v>
      </c>
      <c r="I24" s="16">
        <f>G24+H24-C24-E24</f>
        <v>0</v>
      </c>
      <c r="J24" s="16">
        <f>C24-G24</f>
        <v>-201801</v>
      </c>
      <c r="K24" s="16"/>
    </row>
    <row r="25" ht="20.05" customHeight="1">
      <c r="B25" s="29"/>
      <c r="C25" s="15">
        <v>33383</v>
      </c>
      <c r="D25" s="16">
        <v>317344</v>
      </c>
      <c r="E25" s="16">
        <f>D25-C25</f>
        <v>283961</v>
      </c>
      <c r="F25" s="16">
        <f>F24+'Cashflow '!D25</f>
        <v>70471</v>
      </c>
      <c r="G25" s="16">
        <v>245062</v>
      </c>
      <c r="H25" s="16">
        <v>72282</v>
      </c>
      <c r="I25" s="16">
        <f>G25+H25-C25-E25</f>
        <v>0</v>
      </c>
      <c r="J25" s="16">
        <f>C25-G25</f>
        <v>-211679</v>
      </c>
      <c r="K25" s="16"/>
    </row>
    <row r="26" ht="20.05" customHeight="1">
      <c r="B26" s="29"/>
      <c r="C26" s="15">
        <v>38016</v>
      </c>
      <c r="D26" s="16">
        <v>323888</v>
      </c>
      <c r="E26" s="16">
        <f>D26-C26</f>
        <v>285872</v>
      </c>
      <c r="F26" s="16">
        <f>F25+'Cashflow '!D26</f>
        <v>74497</v>
      </c>
      <c r="G26" s="16">
        <v>258549</v>
      </c>
      <c r="H26" s="16">
        <v>65339</v>
      </c>
      <c r="I26" s="16">
        <f>G26+H26-C26-E26</f>
        <v>0</v>
      </c>
      <c r="J26" s="16">
        <f>C26-G26</f>
        <v>-220533</v>
      </c>
      <c r="K26" s="16"/>
    </row>
    <row r="27" ht="20.05" customHeight="1">
      <c r="B27" s="29"/>
      <c r="C27" s="15">
        <v>36010</v>
      </c>
      <c r="D27" s="16">
        <v>354054</v>
      </c>
      <c r="E27" s="16">
        <f>D27-C27</f>
        <v>318044</v>
      </c>
      <c r="F27" s="16">
        <f>F26+'Cashflow '!D27</f>
        <v>79130</v>
      </c>
      <c r="G27" s="16">
        <v>287830</v>
      </c>
      <c r="H27" s="16">
        <v>66224</v>
      </c>
      <c r="I27" s="16">
        <f>G27+H27-C27-E27</f>
        <v>0</v>
      </c>
      <c r="J27" s="16">
        <f>C27-G27</f>
        <v>-251820</v>
      </c>
      <c r="K27" s="16"/>
    </row>
    <row r="28" ht="20.05" customHeight="1">
      <c r="B28" s="30">
        <v>2021</v>
      </c>
      <c r="C28" s="15">
        <v>38466</v>
      </c>
      <c r="D28" s="16">
        <v>337158</v>
      </c>
      <c r="E28" s="16">
        <f>D28-C28</f>
        <v>298692</v>
      </c>
      <c r="F28" s="16">
        <f>F27+'Cashflow '!D28</f>
        <v>83280</v>
      </c>
      <c r="G28" s="16">
        <v>267980</v>
      </c>
      <c r="H28" s="16">
        <v>69178</v>
      </c>
      <c r="I28" s="16">
        <f>G28+H28-C28-E28</f>
        <v>0</v>
      </c>
      <c r="J28" s="16">
        <f>C28-G28</f>
        <v>-229514</v>
      </c>
      <c r="K28" s="16"/>
    </row>
    <row r="29" ht="20.05" customHeight="1">
      <c r="B29" s="29"/>
      <c r="C29" s="15">
        <v>34050</v>
      </c>
      <c r="D29" s="16">
        <v>329840</v>
      </c>
      <c r="E29" s="16">
        <f>D29-C29</f>
        <v>295790</v>
      </c>
      <c r="F29" s="16">
        <f>F28+'Cashflow '!D29</f>
        <v>87327</v>
      </c>
      <c r="G29" s="16">
        <v>265560</v>
      </c>
      <c r="H29" s="16">
        <v>64280</v>
      </c>
      <c r="I29" s="16">
        <f>G29+H29-C29-E29</f>
        <v>0</v>
      </c>
      <c r="J29" s="16">
        <f>C29-G29</f>
        <v>-231510</v>
      </c>
      <c r="K29" s="16"/>
    </row>
    <row r="30" ht="20.05" customHeight="1">
      <c r="B30" s="29"/>
      <c r="C30" s="15">
        <v>34940</v>
      </c>
      <c r="D30" s="19">
        <v>351002</v>
      </c>
      <c r="E30" s="16">
        <f>D30-C30</f>
        <v>316062</v>
      </c>
      <c r="F30" s="16">
        <f>F29+'Cashflow '!D30</f>
        <v>88766</v>
      </c>
      <c r="G30" s="16">
        <v>287912</v>
      </c>
      <c r="H30" s="16">
        <v>63090</v>
      </c>
      <c r="I30" s="16">
        <f>G30+H30-C30-E30</f>
        <v>0</v>
      </c>
      <c r="J30" s="16">
        <f>C30-G30</f>
        <v>-252972</v>
      </c>
      <c r="K30" s="16">
        <f>J30</f>
        <v>-252972</v>
      </c>
    </row>
    <row r="31" ht="20.05" customHeight="1">
      <c r="B31" s="29"/>
      <c r="C31" s="15"/>
      <c r="D31" s="21"/>
      <c r="E31" s="16"/>
      <c r="F31" s="16"/>
      <c r="G31" s="16"/>
      <c r="H31" s="16"/>
      <c r="I31" s="16"/>
      <c r="J31" s="16"/>
      <c r="K31" s="16">
        <f>'Model'!F30</f>
        <v>-249461.57201845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9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5859" style="34" customWidth="1"/>
    <col min="2" max="4" width="8.75" style="34" customWidth="1"/>
    <col min="5" max="16384" width="16.3516" style="34" customWidth="1"/>
  </cols>
  <sheetData>
    <row r="1" ht="14.7" customHeight="1"/>
    <row r="2" ht="27.65" customHeight="1">
      <c r="B2" t="s" s="2">
        <v>57</v>
      </c>
      <c r="C2" s="2"/>
      <c r="D2" s="2"/>
    </row>
    <row r="3" ht="20.25" customHeight="1">
      <c r="B3" s="5"/>
      <c r="C3" t="s" s="35">
        <v>58</v>
      </c>
      <c r="D3" t="s" s="35">
        <v>59</v>
      </c>
    </row>
    <row r="4" ht="20.25" customHeight="1">
      <c r="B4" s="25">
        <v>2014</v>
      </c>
      <c r="C4" s="32">
        <v>16.796713</v>
      </c>
      <c r="D4" s="8"/>
    </row>
    <row r="5" ht="20.05" customHeight="1">
      <c r="B5" s="29"/>
      <c r="C5" s="15">
        <v>17.234411</v>
      </c>
      <c r="D5" s="20"/>
    </row>
    <row r="6" ht="20.05" customHeight="1">
      <c r="B6" s="29"/>
      <c r="C6" s="15">
        <v>18.947445</v>
      </c>
      <c r="D6" s="20"/>
    </row>
    <row r="7" ht="20.05" customHeight="1">
      <c r="B7" s="29"/>
      <c r="C7" s="15">
        <v>20.325262</v>
      </c>
      <c r="D7" s="20"/>
    </row>
    <row r="8" ht="20.05" customHeight="1">
      <c r="B8" s="29"/>
      <c r="C8" s="15">
        <v>21.004162</v>
      </c>
      <c r="D8" s="20"/>
    </row>
    <row r="9" ht="20.05" customHeight="1">
      <c r="B9" s="29"/>
      <c r="C9" s="15">
        <v>21.607637</v>
      </c>
      <c r="D9" s="20"/>
    </row>
    <row r="10" ht="20.05" customHeight="1">
      <c r="B10" s="29"/>
      <c r="C10" s="15">
        <v>23.167181</v>
      </c>
      <c r="D10" s="20"/>
    </row>
    <row r="11" ht="20.05" customHeight="1">
      <c r="B11" s="29"/>
      <c r="C11" s="15">
        <v>22.88492</v>
      </c>
      <c r="D11" s="20"/>
    </row>
    <row r="12" ht="20.05" customHeight="1">
      <c r="B12" s="29"/>
      <c r="C12" s="15">
        <v>24.531713</v>
      </c>
      <c r="D12" s="20"/>
    </row>
    <row r="13" ht="20.05" customHeight="1">
      <c r="B13" s="29"/>
      <c r="C13" s="15">
        <v>27.014416</v>
      </c>
      <c r="D13" s="20"/>
    </row>
    <row r="14" ht="20.05" customHeight="1">
      <c r="B14" s="29"/>
      <c r="C14" s="15">
        <v>25.181044</v>
      </c>
      <c r="D14" s="20"/>
    </row>
    <row r="15" ht="20.05" customHeight="1">
      <c r="B15" s="29"/>
      <c r="C15" s="15">
        <v>26.72777</v>
      </c>
      <c r="D15" s="20"/>
    </row>
    <row r="16" ht="20.05" customHeight="1">
      <c r="B16" s="30">
        <v>2015</v>
      </c>
      <c r="C16" s="15">
        <v>29.305643</v>
      </c>
      <c r="D16" s="20"/>
    </row>
    <row r="17" ht="20.05" customHeight="1">
      <c r="B17" s="29"/>
      <c r="C17" s="15">
        <v>28.498304</v>
      </c>
      <c r="D17" s="20"/>
    </row>
    <row r="18" ht="20.05" customHeight="1">
      <c r="B18" s="29"/>
      <c r="C18" s="15">
        <v>28.66321</v>
      </c>
      <c r="D18" s="20"/>
    </row>
    <row r="19" ht="20.05" customHeight="1">
      <c r="B19" s="29"/>
      <c r="C19" s="15">
        <v>29.838139</v>
      </c>
      <c r="D19" s="20"/>
    </row>
    <row r="20" ht="20.05" customHeight="1">
      <c r="B20" s="29"/>
      <c r="C20" s="15">
        <v>28.847332</v>
      </c>
      <c r="D20" s="20"/>
    </row>
    <row r="21" ht="20.05" customHeight="1">
      <c r="B21" s="29"/>
      <c r="C21" s="15">
        <v>27.897482</v>
      </c>
      <c r="D21" s="20"/>
    </row>
    <row r="22" ht="20.05" customHeight="1">
      <c r="B22" s="29"/>
      <c r="C22" s="15">
        <v>25.93339</v>
      </c>
      <c r="D22" s="20"/>
    </row>
    <row r="23" ht="20.05" customHeight="1">
      <c r="B23" s="29"/>
      <c r="C23" s="15">
        <v>25.482449</v>
      </c>
      <c r="D23" s="20"/>
    </row>
    <row r="24" ht="20.05" customHeight="1">
      <c r="B24" s="29"/>
      <c r="C24" s="15">
        <v>27.607912</v>
      </c>
      <c r="D24" s="20"/>
    </row>
    <row r="25" ht="20.05" customHeight="1">
      <c r="B25" s="29"/>
      <c r="C25" s="15">
        <v>27.330675</v>
      </c>
      <c r="D25" s="20"/>
    </row>
    <row r="26" ht="20.05" customHeight="1">
      <c r="B26" s="29"/>
      <c r="C26" s="15">
        <v>24.422157</v>
      </c>
      <c r="D26" s="20"/>
    </row>
    <row r="27" ht="20.05" customHeight="1">
      <c r="B27" s="29"/>
      <c r="C27" s="15">
        <v>22.584578</v>
      </c>
      <c r="D27" s="20"/>
    </row>
    <row r="28" ht="20.05" customHeight="1">
      <c r="B28" s="30">
        <v>2016</v>
      </c>
      <c r="C28" s="15">
        <v>22.433773</v>
      </c>
      <c r="D28" s="20"/>
    </row>
    <row r="29" ht="20.05" customHeight="1">
      <c r="B29" s="29"/>
      <c r="C29" s="15">
        <v>25.424799</v>
      </c>
      <c r="D29" s="20"/>
    </row>
    <row r="30" ht="20.05" customHeight="1">
      <c r="B30" s="29"/>
      <c r="C30" s="15">
        <v>21.867334</v>
      </c>
      <c r="D30" s="20"/>
    </row>
    <row r="31" ht="20.05" customHeight="1">
      <c r="B31" s="29"/>
      <c r="C31" s="15">
        <v>23.294987</v>
      </c>
      <c r="D31" s="20"/>
    </row>
    <row r="32" ht="20.05" customHeight="1">
      <c r="B32" s="29"/>
      <c r="C32" s="15">
        <v>22.43701</v>
      </c>
      <c r="D32" s="20"/>
    </row>
    <row r="33" ht="20.05" customHeight="1">
      <c r="B33" s="29"/>
      <c r="C33" s="15">
        <v>24.457745</v>
      </c>
      <c r="D33" s="20"/>
    </row>
    <row r="34" ht="20.05" customHeight="1">
      <c r="B34" s="29"/>
      <c r="C34" s="15">
        <v>24.901323</v>
      </c>
      <c r="D34" s="20"/>
    </row>
    <row r="35" ht="20.05" customHeight="1">
      <c r="B35" s="29"/>
      <c r="C35" s="15">
        <v>26.676199</v>
      </c>
      <c r="D35" s="20"/>
    </row>
    <row r="36" ht="20.05" customHeight="1">
      <c r="B36" s="29"/>
      <c r="C36" s="15">
        <v>26.791819</v>
      </c>
      <c r="D36" s="20"/>
    </row>
    <row r="37" ht="20.05" customHeight="1">
      <c r="B37" s="29"/>
      <c r="C37" s="15">
        <v>26.079195</v>
      </c>
      <c r="D37" s="20"/>
    </row>
    <row r="38" ht="20.05" customHeight="1">
      <c r="B38" s="29"/>
      <c r="C38" s="15">
        <v>27.470144</v>
      </c>
      <c r="D38" s="20"/>
    </row>
    <row r="39" ht="20.05" customHeight="1">
      <c r="B39" s="29"/>
      <c r="C39" s="15">
        <v>28.78175</v>
      </c>
      <c r="D39" s="20"/>
    </row>
    <row r="40" ht="20.05" customHeight="1">
      <c r="B40" s="30">
        <v>2017</v>
      </c>
      <c r="C40" s="15">
        <v>32.491241</v>
      </c>
      <c r="D40" s="20"/>
    </row>
    <row r="41" ht="20.05" customHeight="1">
      <c r="B41" s="29"/>
      <c r="C41" s="15">
        <v>34.220959</v>
      </c>
      <c r="D41" s="20"/>
    </row>
    <row r="42" ht="20.05" customHeight="1">
      <c r="B42" s="29"/>
      <c r="C42" s="15">
        <v>34.218575</v>
      </c>
      <c r="D42" s="20"/>
    </row>
    <row r="43" ht="20.05" customHeight="1">
      <c r="B43" s="29"/>
      <c r="C43" s="15">
        <v>36.388645</v>
      </c>
      <c r="D43" s="20"/>
    </row>
    <row r="44" ht="20.05" customHeight="1">
      <c r="B44" s="29"/>
      <c r="C44" s="15">
        <v>34.448315</v>
      </c>
      <c r="D44" s="20"/>
    </row>
    <row r="45" ht="20.05" customHeight="1">
      <c r="B45" s="29"/>
      <c r="C45" s="15">
        <v>35.574905</v>
      </c>
      <c r="D45" s="20"/>
    </row>
    <row r="46" ht="20.05" customHeight="1">
      <c r="B46" s="29"/>
      <c r="C46" s="15">
        <v>39.227352</v>
      </c>
      <c r="D46" s="20"/>
    </row>
    <row r="47" ht="20.05" customHeight="1">
      <c r="B47" s="29"/>
      <c r="C47" s="15">
        <v>37.008904</v>
      </c>
      <c r="D47" s="20"/>
    </row>
    <row r="48" ht="20.05" customHeight="1">
      <c r="B48" s="29"/>
      <c r="C48" s="15">
        <v>40.591652</v>
      </c>
      <c r="D48" s="20"/>
    </row>
    <row r="49" ht="20.05" customHeight="1">
      <c r="B49" s="29"/>
      <c r="C49" s="15">
        <v>41.266426</v>
      </c>
      <c r="D49" s="20"/>
    </row>
    <row r="50" ht="20.05" customHeight="1">
      <c r="B50" s="29"/>
      <c r="C50" s="15">
        <v>40.783367</v>
      </c>
      <c r="D50" s="20"/>
    </row>
    <row r="51" ht="20.05" customHeight="1">
      <c r="B51" s="29"/>
      <c r="C51" s="15">
        <v>40.349579</v>
      </c>
      <c r="D51" s="20"/>
    </row>
    <row r="52" ht="20.05" customHeight="1">
      <c r="B52" s="30">
        <v>2018</v>
      </c>
      <c r="C52" s="15">
        <v>42.925804</v>
      </c>
      <c r="D52" s="20"/>
    </row>
    <row r="53" ht="20.05" customHeight="1">
      <c r="B53" s="29"/>
      <c r="C53" s="15">
        <v>40.598782</v>
      </c>
      <c r="D53" s="20"/>
    </row>
    <row r="54" ht="20.05" customHeight="1">
      <c r="B54" s="29"/>
      <c r="C54" s="15">
        <v>39.988998</v>
      </c>
      <c r="D54" s="20"/>
    </row>
    <row r="55" ht="20.05" customHeight="1">
      <c r="B55" s="29"/>
      <c r="C55" s="15">
        <v>45.218109</v>
      </c>
      <c r="D55" s="20"/>
    </row>
    <row r="56" ht="20.05" customHeight="1">
      <c r="B56" s="29"/>
      <c r="C56" s="15">
        <v>44.964947</v>
      </c>
      <c r="D56" s="20"/>
    </row>
    <row r="57" ht="20.05" customHeight="1">
      <c r="B57" s="29"/>
      <c r="C57" s="15">
        <v>46.223221</v>
      </c>
      <c r="D57" s="20"/>
    </row>
    <row r="58" ht="20.05" customHeight="1">
      <c r="B58" s="29"/>
      <c r="C58" s="15">
        <v>55.293457</v>
      </c>
      <c r="D58" s="20"/>
    </row>
    <row r="59" ht="20.05" customHeight="1">
      <c r="B59" s="29"/>
      <c r="C59" s="15">
        <v>55.026672</v>
      </c>
      <c r="D59" s="20"/>
    </row>
    <row r="60" ht="20.05" customHeight="1">
      <c r="B60" s="29"/>
      <c r="C60" s="15">
        <v>53.349594</v>
      </c>
      <c r="D60" s="20"/>
    </row>
    <row r="61" ht="20.05" customHeight="1">
      <c r="B61" s="29"/>
      <c r="C61" s="15">
        <v>43.530891</v>
      </c>
      <c r="D61" s="20"/>
    </row>
    <row r="62" ht="20.05" customHeight="1">
      <c r="B62" s="29"/>
      <c r="C62" s="15">
        <v>38.585068</v>
      </c>
      <c r="D62" s="20"/>
    </row>
    <row r="63" ht="20.05" customHeight="1">
      <c r="B63" s="29"/>
      <c r="C63" s="15">
        <v>40.713184</v>
      </c>
      <c r="D63" s="20"/>
    </row>
    <row r="64" ht="20.05" customHeight="1">
      <c r="B64" s="30">
        <v>2019</v>
      </c>
      <c r="C64" s="15">
        <v>42.354534</v>
      </c>
      <c r="D64" s="20"/>
    </row>
    <row r="65" ht="20.05" customHeight="1">
      <c r="B65" s="29"/>
      <c r="C65" s="15">
        <v>46.663288</v>
      </c>
      <c r="D65" s="20"/>
    </row>
    <row r="66" ht="20.05" customHeight="1">
      <c r="B66" s="29"/>
      <c r="C66" s="15">
        <v>49.296772</v>
      </c>
      <c r="D66" s="20"/>
    </row>
    <row r="67" ht="20.05" customHeight="1">
      <c r="B67" s="29"/>
      <c r="C67" s="15">
        <v>43.007851</v>
      </c>
      <c r="D67" s="20"/>
    </row>
    <row r="68" ht="20.05" customHeight="1">
      <c r="B68" s="29"/>
      <c r="C68" s="15">
        <v>48.808441</v>
      </c>
      <c r="D68" s="20"/>
    </row>
    <row r="69" ht="20.05" customHeight="1">
      <c r="B69" s="29"/>
      <c r="C69" s="15">
        <v>52.53714</v>
      </c>
      <c r="D69" s="20"/>
    </row>
    <row r="70" ht="20.05" customHeight="1">
      <c r="B70" s="29"/>
      <c r="C70" s="15">
        <v>51.47673</v>
      </c>
      <c r="D70" s="20"/>
    </row>
    <row r="71" ht="20.05" customHeight="1">
      <c r="B71" s="29"/>
      <c r="C71" s="15">
        <v>55.442406</v>
      </c>
      <c r="D71" s="20"/>
    </row>
    <row r="72" ht="20.05" customHeight="1">
      <c r="B72" s="29"/>
      <c r="C72" s="15">
        <v>61.579021</v>
      </c>
      <c r="D72" s="20"/>
    </row>
    <row r="73" ht="20.05" customHeight="1">
      <c r="B73" s="29"/>
      <c r="C73" s="15">
        <v>66.156113</v>
      </c>
      <c r="D73" s="20"/>
    </row>
    <row r="74" ht="20.05" customHeight="1">
      <c r="B74" s="29"/>
      <c r="C74" s="15">
        <v>72.90949999999999</v>
      </c>
      <c r="D74" s="20"/>
    </row>
    <row r="75" ht="20.05" customHeight="1">
      <c r="B75" s="29"/>
      <c r="C75" s="15">
        <v>76.847343</v>
      </c>
      <c r="D75" s="20"/>
    </row>
    <row r="76" ht="20.05" customHeight="1">
      <c r="B76" s="30">
        <v>2020</v>
      </c>
      <c r="C76" s="15">
        <v>67.871758</v>
      </c>
      <c r="D76" s="20"/>
    </row>
    <row r="77" ht="20.05" customHeight="1">
      <c r="B77" s="29"/>
      <c r="C77" s="15">
        <v>63.28677</v>
      </c>
      <c r="D77" s="20"/>
    </row>
    <row r="78" ht="20.05" customHeight="1">
      <c r="B78" s="29"/>
      <c r="C78" s="15">
        <v>73.119873</v>
      </c>
      <c r="D78" s="20"/>
    </row>
    <row r="79" ht="20.05" customHeight="1">
      <c r="B79" s="29"/>
      <c r="C79" s="15">
        <v>79.127747</v>
      </c>
      <c r="D79" s="20"/>
    </row>
    <row r="80" ht="20.05" customHeight="1">
      <c r="B80" s="29"/>
      <c r="C80" s="15">
        <v>91.035858</v>
      </c>
      <c r="D80" s="20"/>
    </row>
    <row r="81" ht="20.05" customHeight="1">
      <c r="B81" s="29"/>
      <c r="C81" s="15">
        <v>106.068756</v>
      </c>
      <c r="D81" s="20"/>
    </row>
    <row r="82" ht="20.05" customHeight="1">
      <c r="B82" s="29"/>
      <c r="C82" s="15">
        <v>128.807755</v>
      </c>
      <c r="D82" s="19">
        <v>139.979591143936</v>
      </c>
    </row>
    <row r="83" ht="20.05" customHeight="1">
      <c r="B83" s="29"/>
      <c r="C83" s="15">
        <v>115.809998</v>
      </c>
      <c r="D83" s="19">
        <v>139.979591143936</v>
      </c>
    </row>
    <row r="84" ht="20.05" customHeight="1">
      <c r="B84" s="29"/>
      <c r="C84" s="15">
        <v>115.32</v>
      </c>
      <c r="D84" s="19">
        <v>139.979591143936</v>
      </c>
    </row>
    <row r="85" ht="20.05" customHeight="1">
      <c r="B85" s="29"/>
      <c r="C85" s="15">
        <v>108.672516</v>
      </c>
      <c r="D85" s="19">
        <v>151.741266480731</v>
      </c>
    </row>
    <row r="86" ht="20.05" customHeight="1">
      <c r="B86" s="29"/>
      <c r="C86" s="15">
        <v>119.050003</v>
      </c>
      <c r="D86" s="19">
        <v>151.741266480731</v>
      </c>
    </row>
    <row r="87" ht="20.05" customHeight="1">
      <c r="B87" s="29"/>
      <c r="C87" s="15">
        <v>132.690002</v>
      </c>
      <c r="D87" s="19">
        <v>151.741266480731</v>
      </c>
    </row>
    <row r="88" ht="20.05" customHeight="1">
      <c r="B88" s="30">
        <v>2021</v>
      </c>
      <c r="C88" s="15">
        <v>131.763107</v>
      </c>
      <c r="D88" s="19">
        <v>207.439141472856</v>
      </c>
    </row>
    <row r="89" ht="20.05" customHeight="1">
      <c r="B89" s="29"/>
      <c r="C89" s="15">
        <v>121.260002</v>
      </c>
      <c r="D89" s="19">
        <v>207.439141472856</v>
      </c>
    </row>
    <row r="90" ht="20.05" customHeight="1">
      <c r="B90" s="29"/>
      <c r="C90" s="15">
        <v>121.942871</v>
      </c>
      <c r="D90" s="19">
        <v>245.853615737473</v>
      </c>
    </row>
    <row r="91" ht="20.05" customHeight="1">
      <c r="B91" s="29"/>
      <c r="C91" s="15">
        <v>131.237091</v>
      </c>
      <c r="D91" s="19">
        <v>245.853615737473</v>
      </c>
    </row>
    <row r="92" ht="20.05" customHeight="1">
      <c r="B92" s="29"/>
      <c r="C92" s="15">
        <v>124.610001</v>
      </c>
      <c r="D92" s="19">
        <v>245.853615737473</v>
      </c>
    </row>
    <row r="93" ht="20.05" customHeight="1">
      <c r="B93" s="29"/>
      <c r="C93" s="15">
        <v>136.960007</v>
      </c>
      <c r="D93" s="19">
        <v>245.853615737473</v>
      </c>
    </row>
    <row r="94" ht="20.05" customHeight="1">
      <c r="B94" s="29"/>
      <c r="C94" s="15">
        <v>145.86</v>
      </c>
      <c r="D94" s="19">
        <v>202.728504591606</v>
      </c>
    </row>
    <row r="95" ht="20.05" customHeight="1">
      <c r="B95" s="29"/>
      <c r="C95" s="15">
        <v>152.51</v>
      </c>
      <c r="D95" s="20"/>
    </row>
    <row r="96" ht="20.05" customHeight="1">
      <c r="B96" s="29"/>
      <c r="C96" s="15">
        <v>142.65</v>
      </c>
      <c r="D96" s="20"/>
    </row>
    <row r="97" ht="20.05" customHeight="1">
      <c r="B97" s="29"/>
      <c r="C97" s="15">
        <v>152.57</v>
      </c>
      <c r="D97" s="19">
        <f>C97</f>
        <v>152.57</v>
      </c>
    </row>
    <row r="98" ht="20.05" customHeight="1">
      <c r="B98" s="29"/>
      <c r="C98" s="15"/>
      <c r="D98" s="19">
        <f>'Model'!F42</f>
        <v>192.285686299132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